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4.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S:\A D M I N  &amp;  E N G\Water Loss Audit\FY 2018-2019\"/>
    </mc:Choice>
  </mc:AlternateContent>
  <workbookProtection workbookPassword="EB7C" lockStructure="1"/>
  <bookViews>
    <workbookView xWindow="32760" yWindow="32760" windowWidth="23010" windowHeight="9330" tabRatio="884" firstSheet="3" activeTab="4"/>
  </bookViews>
  <sheets>
    <sheet name="Sheet4" sheetId="50" state="hidden" r:id="rId1"/>
    <sheet name="Sheet3" sheetId="49" state="hidden" r:id="rId2"/>
    <sheet name="Sheet2" sheetId="48" state="hidden" r:id="rId3"/>
    <sheet name="Instructions" sheetId="23" r:id="rId4"/>
    <sheet name="Reporting Worksheet" sheetId="22" r:id="rId5"/>
    <sheet name="Performance Indicators" sheetId="53" r:id="rId6"/>
    <sheet name="Comments" sheetId="51" r:id="rId7"/>
    <sheet name="Water Balance" sheetId="16" r:id="rId8"/>
    <sheet name="GradingAssessment" sheetId="30" state="hidden" r:id="rId9"/>
    <sheet name="Dashboard" sheetId="54" r:id="rId10"/>
    <sheet name="Grading Matrix" sheetId="40" r:id="rId11"/>
    <sheet name="Service Connection Diagram" sheetId="42" r:id="rId12"/>
    <sheet name="Definitions" sheetId="2" r:id="rId13"/>
    <sheet name="Loss Control Planning" sheetId="32" r:id="rId14"/>
    <sheet name="Example Audits" sheetId="46" r:id="rId15"/>
    <sheet name="Ex. Audit 2 (Megalitres)" sheetId="47" state="hidden" r:id="rId16"/>
    <sheet name="Acknowledgements" sheetId="43" r:id="rId17"/>
    <sheet name="Sheet1" sheetId="27" state="hidden" r:id="rId18"/>
  </sheets>
  <definedNames>
    <definedName name="_xlnm.Print_Area" localSheetId="12">Definitions!$B$1:$N$78</definedName>
    <definedName name="_xlnm.Print_Area" localSheetId="15">'Ex. Audit 2 (Megalitres)'!$B$2:$N$120</definedName>
    <definedName name="_xlnm.Print_Area" localSheetId="5">'Performance Indicators'!$B$2:$P$47</definedName>
    <definedName name="_xlnm.Print_Area" localSheetId="4">'Reporting Worksheet'!$B$2:$P$99</definedName>
    <definedName name="_xlnm.Print_Area" localSheetId="11">'Service Connection Diagram'!$B$2:$F$24</definedName>
    <definedName name="_xlnm.Print_Titles" localSheetId="6">Comments!$7:$7</definedName>
    <definedName name="_xlnm.Print_Titles" localSheetId="12">Definitions!$4:$4</definedName>
    <definedName name="_xlnm.Print_Titles" localSheetId="10">'Grading Matrix'!$6:$7</definedName>
  </definedNames>
  <calcPr calcId="152511" concurrentCalc="0"/>
</workbook>
</file>

<file path=xl/calcChain.xml><?xml version="1.0" encoding="utf-8"?>
<calcChain xmlns="http://schemas.openxmlformats.org/spreadsheetml/2006/main">
  <c r="G19" i="22" l="1"/>
  <c r="N26" i="22"/>
  <c r="B2" i="27"/>
  <c r="O2" i="27"/>
  <c r="N3" i="27"/>
  <c r="B3" i="27"/>
  <c r="C3" i="27"/>
  <c r="B4" i="27"/>
  <c r="C4" i="27"/>
  <c r="D4" i="27"/>
  <c r="N4" i="27"/>
  <c r="F5" i="27"/>
  <c r="D2" i="27"/>
  <c r="D7" i="27"/>
  <c r="E8" i="27"/>
  <c r="C11" i="27"/>
  <c r="D9" i="27"/>
  <c r="K13" i="27"/>
  <c r="H16" i="27"/>
  <c r="B17" i="27"/>
  <c r="D17" i="27"/>
  <c r="B18" i="27"/>
  <c r="C18" i="27"/>
  <c r="B19" i="27"/>
  <c r="C19" i="27"/>
  <c r="D19" i="27"/>
  <c r="D22" i="27"/>
  <c r="E23" i="27"/>
  <c r="D24" i="27"/>
  <c r="C26" i="27"/>
  <c r="A76" i="27"/>
  <c r="E80" i="27"/>
  <c r="C81" i="27"/>
  <c r="D81" i="27"/>
  <c r="E81" i="27"/>
  <c r="A82" i="27"/>
  <c r="C83" i="27"/>
  <c r="D83" i="27"/>
  <c r="E83" i="27"/>
  <c r="A84" i="27"/>
  <c r="C85" i="27"/>
  <c r="D85" i="27"/>
  <c r="E85" i="27"/>
  <c r="A86" i="27"/>
  <c r="C90" i="27"/>
  <c r="D90" i="27"/>
  <c r="E90" i="27"/>
  <c r="G4" i="32"/>
  <c r="G5" i="32"/>
  <c r="H5" i="32"/>
  <c r="S25" i="32"/>
  <c r="S26" i="32"/>
  <c r="S27" i="32"/>
  <c r="S28" i="32"/>
  <c r="S29" i="32"/>
  <c r="I55" i="2"/>
  <c r="G56" i="2"/>
  <c r="E4" i="42"/>
  <c r="Q9" i="40"/>
  <c r="Q10" i="40"/>
  <c r="Q11" i="40"/>
  <c r="Q12" i="40"/>
  <c r="Q13" i="40"/>
  <c r="Q14" i="40"/>
  <c r="Q15" i="40"/>
  <c r="Q16" i="40"/>
  <c r="Q17" i="40"/>
  <c r="Q18" i="40"/>
  <c r="Q19" i="40"/>
  <c r="Q20" i="40"/>
  <c r="Q22" i="40"/>
  <c r="Q23" i="40"/>
  <c r="Q24" i="40"/>
  <c r="Q25" i="40"/>
  <c r="Q26" i="40"/>
  <c r="Q27" i="40"/>
  <c r="Q28" i="40"/>
  <c r="Q29" i="40"/>
  <c r="Q31" i="40"/>
  <c r="Q32" i="40"/>
  <c r="Q33" i="40"/>
  <c r="Q34" i="40"/>
  <c r="Q35" i="40"/>
  <c r="Q36" i="40"/>
  <c r="Q38" i="40"/>
  <c r="Q39" i="40"/>
  <c r="Q40" i="40"/>
  <c r="Q41" i="40"/>
  <c r="Q45" i="40"/>
  <c r="Q46" i="40"/>
  <c r="Q48" i="40"/>
  <c r="Q49" i="40"/>
  <c r="Q50" i="40"/>
  <c r="Q51" i="40"/>
  <c r="Q52" i="40"/>
  <c r="Q53" i="40"/>
  <c r="G4" i="54"/>
  <c r="G5" i="54"/>
  <c r="H5" i="54"/>
  <c r="C4" i="30"/>
  <c r="L4" i="30"/>
  <c r="C5" i="30"/>
  <c r="C6" i="30"/>
  <c r="C7" i="30"/>
  <c r="L7" i="30"/>
  <c r="C8" i="30"/>
  <c r="C9" i="30"/>
  <c r="L9" i="30"/>
  <c r="C10" i="30"/>
  <c r="D10" i="30"/>
  <c r="K10" i="30"/>
  <c r="C11" i="30"/>
  <c r="C12" i="30"/>
  <c r="L12" i="30"/>
  <c r="D12" i="30"/>
  <c r="F12" i="30"/>
  <c r="C13" i="30"/>
  <c r="L13" i="30"/>
  <c r="K13" i="30"/>
  <c r="C14" i="30"/>
  <c r="L14" i="30"/>
  <c r="K14" i="30"/>
  <c r="M14" i="30"/>
  <c r="C15" i="30"/>
  <c r="L15" i="30"/>
  <c r="K16" i="30"/>
  <c r="C17" i="30"/>
  <c r="L17" i="30"/>
  <c r="K17" i="30"/>
  <c r="M17" i="30"/>
  <c r="C18" i="30"/>
  <c r="L18" i="30"/>
  <c r="K18" i="30"/>
  <c r="M18" i="30"/>
  <c r="K19" i="30"/>
  <c r="C20" i="30"/>
  <c r="K20" i="30"/>
  <c r="L20" i="30"/>
  <c r="M20" i="30"/>
  <c r="C21" i="30"/>
  <c r="K21" i="30"/>
  <c r="L21" i="30"/>
  <c r="M21" i="30"/>
  <c r="C22" i="30"/>
  <c r="L22" i="30"/>
  <c r="K22" i="30"/>
  <c r="C23" i="30"/>
  <c r="K23" i="30"/>
  <c r="L27" i="30"/>
  <c r="E5" i="16"/>
  <c r="E6" i="16"/>
  <c r="F6" i="16"/>
  <c r="C10" i="16"/>
  <c r="F12" i="16"/>
  <c r="B17" i="16"/>
  <c r="K13" i="16"/>
  <c r="F16" i="16"/>
  <c r="B27" i="16"/>
  <c r="K14" i="16"/>
  <c r="K25" i="16"/>
  <c r="D4" i="53"/>
  <c r="D5" i="53"/>
  <c r="G5" i="53"/>
  <c r="J11" i="53"/>
  <c r="J13" i="53"/>
  <c r="R13" i="53"/>
  <c r="J15" i="53"/>
  <c r="J17" i="53"/>
  <c r="M21" i="53"/>
  <c r="J28" i="53"/>
  <c r="J32" i="53"/>
  <c r="J34" i="53"/>
  <c r="J38" i="53"/>
  <c r="C46" i="53"/>
  <c r="D4" i="22"/>
  <c r="D5" i="22"/>
  <c r="G5" i="22"/>
  <c r="G9" i="22"/>
  <c r="I15" i="22"/>
  <c r="C80" i="27"/>
  <c r="P15" i="22"/>
  <c r="S15" i="22"/>
  <c r="S16" i="22"/>
  <c r="S17" i="22"/>
  <c r="T18" i="22"/>
  <c r="C82" i="27"/>
  <c r="D82" i="27"/>
  <c r="E82" i="27"/>
  <c r="I16" i="22"/>
  <c r="P16" i="22"/>
  <c r="C84" i="27"/>
  <c r="D84" i="27"/>
  <c r="E84" i="27"/>
  <c r="I17" i="22"/>
  <c r="P17" i="22"/>
  <c r="C86" i="27"/>
  <c r="D86" i="27"/>
  <c r="E86" i="27"/>
  <c r="I19" i="22"/>
  <c r="T19" i="22"/>
  <c r="I23" i="22"/>
  <c r="I24" i="22"/>
  <c r="I25" i="22"/>
  <c r="G26" i="22"/>
  <c r="C91" i="27"/>
  <c r="I26" i="22"/>
  <c r="P26" i="22"/>
  <c r="C28" i="22"/>
  <c r="I30" i="22"/>
  <c r="I35" i="22"/>
  <c r="I38" i="22"/>
  <c r="P38" i="22"/>
  <c r="C40" i="22"/>
  <c r="G42" i="22"/>
  <c r="C95" i="27"/>
  <c r="D95" i="27"/>
  <c r="E95" i="27"/>
  <c r="F22" i="16"/>
  <c r="I42" i="22"/>
  <c r="P42" i="22"/>
  <c r="G43" i="22"/>
  <c r="C96" i="27"/>
  <c r="D96" i="27"/>
  <c r="E96" i="27"/>
  <c r="C16" i="30"/>
  <c r="I43" i="22"/>
  <c r="P43" i="22"/>
  <c r="I47" i="22"/>
  <c r="I52" i="22"/>
  <c r="I54" i="22"/>
  <c r="I58" i="22"/>
  <c r="I62" i="22"/>
  <c r="G64" i="22"/>
  <c r="I64" i="22"/>
  <c r="R66" i="22"/>
  <c r="I67" i="22"/>
  <c r="R67" i="22"/>
  <c r="C19" i="30"/>
  <c r="L19" i="30"/>
  <c r="M19" i="30"/>
  <c r="C68" i="22"/>
  <c r="R68" i="22"/>
  <c r="I17" i="53"/>
  <c r="C41" i="53"/>
  <c r="I69" i="22"/>
  <c r="G38" i="53"/>
  <c r="R71" i="22"/>
  <c r="C71" i="22"/>
  <c r="N77" i="22"/>
  <c r="I78" i="22"/>
  <c r="C80" i="22"/>
  <c r="A91" i="27"/>
  <c r="F14" i="16"/>
  <c r="C89" i="27"/>
  <c r="D89" i="27"/>
  <c r="E89" i="27"/>
  <c r="D11" i="30"/>
  <c r="K11" i="30"/>
  <c r="L6" i="30"/>
  <c r="C88" i="27"/>
  <c r="D88" i="27"/>
  <c r="E88" i="27"/>
  <c r="E13" i="16"/>
  <c r="N19" i="16"/>
  <c r="Q43" i="40"/>
  <c r="L11" i="30"/>
  <c r="A90" i="27"/>
  <c r="A98" i="27"/>
  <c r="G38" i="22"/>
  <c r="L23" i="30"/>
  <c r="M23" i="30"/>
  <c r="K12" i="30"/>
  <c r="Q42" i="40"/>
  <c r="Q44" i="40"/>
  <c r="G13" i="16"/>
  <c r="O23" i="16"/>
  <c r="D15" i="30"/>
  <c r="C87" i="27"/>
  <c r="D87" i="27"/>
  <c r="E87" i="27"/>
  <c r="C21" i="16"/>
  <c r="L16" i="16"/>
  <c r="K15" i="30"/>
  <c r="M15" i="30"/>
  <c r="D25" i="30"/>
  <c r="D26" i="30"/>
  <c r="E21" i="30"/>
  <c r="F21" i="30"/>
  <c r="E18" i="30"/>
  <c r="F18" i="30"/>
  <c r="G18" i="30"/>
  <c r="E19" i="30"/>
  <c r="F19" i="30"/>
  <c r="E16" i="30"/>
  <c r="F16" i="30"/>
  <c r="E11" i="30"/>
  <c r="F11" i="30"/>
  <c r="E20" i="30"/>
  <c r="F20" i="30"/>
  <c r="G11" i="30"/>
  <c r="H11" i="30"/>
  <c r="G20" i="30"/>
  <c r="E17" i="16"/>
  <c r="N20" i="16"/>
  <c r="D91" i="27"/>
  <c r="E91" i="27"/>
  <c r="G30" i="22"/>
  <c r="F18" i="16"/>
  <c r="M13" i="30"/>
  <c r="G21" i="30"/>
  <c r="H21" i="30"/>
  <c r="F20" i="16"/>
  <c r="C94" i="27"/>
  <c r="D94" i="27"/>
  <c r="G47" i="22"/>
  <c r="M11" i="30"/>
  <c r="L10" i="30"/>
  <c r="M10" i="30"/>
  <c r="E10" i="30"/>
  <c r="F10" i="30"/>
  <c r="G10" i="30"/>
  <c r="G19" i="30"/>
  <c r="H18" i="30"/>
  <c r="E12" i="30"/>
  <c r="M12" i="30"/>
  <c r="L16" i="30"/>
  <c r="M16" i="30"/>
  <c r="G16" i="30"/>
  <c r="M22" i="30"/>
  <c r="L5" i="30"/>
  <c r="H20" i="30"/>
  <c r="H16" i="30"/>
  <c r="E17" i="30"/>
  <c r="F17" i="30"/>
  <c r="E22" i="30"/>
  <c r="F22" i="30"/>
  <c r="E13" i="30"/>
  <c r="F13" i="30"/>
  <c r="E23" i="30"/>
  <c r="F23" i="30"/>
  <c r="E14" i="30"/>
  <c r="F14" i="30"/>
  <c r="E15" i="30"/>
  <c r="F15" i="30"/>
  <c r="J43" i="53"/>
  <c r="U15" i="22"/>
  <c r="D5" i="30"/>
  <c r="T15" i="22"/>
  <c r="D4" i="30"/>
  <c r="T16" i="22"/>
  <c r="D6" i="30"/>
  <c r="U17" i="22"/>
  <c r="D9" i="30"/>
  <c r="T17" i="22"/>
  <c r="D8" i="30"/>
  <c r="U16" i="22"/>
  <c r="D7" i="30"/>
  <c r="M15" i="16"/>
  <c r="N15" i="16"/>
  <c r="O15" i="16"/>
  <c r="L15" i="16"/>
  <c r="L25" i="16"/>
  <c r="K15" i="16"/>
  <c r="L8" i="30"/>
  <c r="H19" i="30"/>
  <c r="H12" i="30"/>
  <c r="G12" i="30"/>
  <c r="R80" i="22"/>
  <c r="F24" i="16"/>
  <c r="C45" i="22"/>
  <c r="G35" i="22"/>
  <c r="C92" i="27"/>
  <c r="D92" i="27"/>
  <c r="E92" i="27"/>
  <c r="D15" i="16"/>
  <c r="M17" i="16"/>
  <c r="C32" i="22"/>
  <c r="K6" i="30"/>
  <c r="M6" i="30"/>
  <c r="E6" i="30"/>
  <c r="F6" i="30"/>
  <c r="G23" i="30"/>
  <c r="H23" i="30"/>
  <c r="E94" i="27"/>
  <c r="E7" i="30"/>
  <c r="F7" i="30"/>
  <c r="K7" i="30"/>
  <c r="M7" i="30"/>
  <c r="E4" i="30"/>
  <c r="K4" i="30"/>
  <c r="M4" i="30"/>
  <c r="D24" i="30"/>
  <c r="G15" i="30"/>
  <c r="H15" i="30"/>
  <c r="G13" i="30"/>
  <c r="H13" i="30"/>
  <c r="E8" i="30"/>
  <c r="F8" i="30"/>
  <c r="K8" i="30"/>
  <c r="M8" i="30"/>
  <c r="E5" i="30"/>
  <c r="F5" i="30"/>
  <c r="K5" i="30"/>
  <c r="M5" i="30"/>
  <c r="H10" i="30"/>
  <c r="G22" i="30"/>
  <c r="H22" i="30"/>
  <c r="E9" i="30"/>
  <c r="F9" i="30"/>
  <c r="K9" i="30"/>
  <c r="M9" i="30"/>
  <c r="G14" i="30"/>
  <c r="H14" i="30"/>
  <c r="G17" i="30"/>
  <c r="H17" i="30"/>
  <c r="C97" i="27"/>
  <c r="D97" i="27"/>
  <c r="I32" i="53"/>
  <c r="I11" i="53"/>
  <c r="E21" i="16"/>
  <c r="N21" i="16"/>
  <c r="C49" i="22"/>
  <c r="I19" i="53"/>
  <c r="G52" i="22"/>
  <c r="G19" i="16"/>
  <c r="O24" i="16"/>
  <c r="O25" i="16"/>
  <c r="G54" i="22"/>
  <c r="G58" i="22"/>
  <c r="C99" i="27"/>
  <c r="C93" i="27"/>
  <c r="D93" i="27"/>
  <c r="E93" i="27"/>
  <c r="G5" i="30"/>
  <c r="H5" i="30"/>
  <c r="I15" i="53"/>
  <c r="D25" i="16"/>
  <c r="M18" i="16"/>
  <c r="M25" i="16"/>
  <c r="E27" i="16"/>
  <c r="N22" i="16"/>
  <c r="N25" i="16"/>
  <c r="I13" i="53"/>
  <c r="I21" i="53"/>
  <c r="D98" i="27"/>
  <c r="D99" i="27"/>
  <c r="E99" i="27"/>
  <c r="I28" i="53"/>
  <c r="I34" i="53"/>
  <c r="I43" i="53"/>
  <c r="I45" i="53"/>
  <c r="C98" i="27"/>
  <c r="E97" i="27"/>
  <c r="E24" i="30"/>
  <c r="I26" i="53"/>
  <c r="G9" i="30"/>
  <c r="H9" i="30"/>
  <c r="G8" i="30"/>
  <c r="H8" i="30"/>
  <c r="M24" i="30"/>
  <c r="G6" i="30"/>
  <c r="H6" i="30"/>
  <c r="F4" i="30"/>
  <c r="G7" i="30"/>
  <c r="H7" i="30"/>
  <c r="I36" i="53"/>
  <c r="J36" i="53"/>
  <c r="I38" i="53"/>
  <c r="G4" i="30"/>
  <c r="G24" i="30"/>
  <c r="E7" i="16"/>
  <c r="F7" i="16"/>
  <c r="F24" i="30"/>
  <c r="H4" i="30"/>
  <c r="R11" i="53"/>
  <c r="R85" i="22"/>
  <c r="C87" i="22"/>
  <c r="I9" i="30" a="1"/>
  <c r="I9" i="30"/>
  <c r="I8" i="30" a="1"/>
  <c r="I8" i="30"/>
  <c r="E98" i="27"/>
  <c r="E79" i="27"/>
  <c r="C85" i="22"/>
  <c r="C9" i="53"/>
  <c r="G6" i="54"/>
  <c r="H6" i="54"/>
  <c r="G6" i="32"/>
  <c r="H6" i="32"/>
  <c r="I4" i="30" a="1"/>
  <c r="I4" i="30"/>
  <c r="I11" i="30" a="1"/>
  <c r="I11" i="30"/>
  <c r="I21" i="30" a="1"/>
  <c r="I21" i="30"/>
  <c r="I16" i="30" a="1"/>
  <c r="I16" i="30"/>
  <c r="I12" i="30" a="1"/>
  <c r="I12" i="30"/>
  <c r="I18" i="30" a="1"/>
  <c r="I18" i="30"/>
  <c r="I19" i="30" a="1"/>
  <c r="I19" i="30"/>
  <c r="I20" i="30" a="1"/>
  <c r="I20" i="30"/>
  <c r="I14" i="30" a="1"/>
  <c r="I14" i="30"/>
  <c r="I15" i="30" a="1"/>
  <c r="I15" i="30"/>
  <c r="I22" i="30" a="1"/>
  <c r="I22" i="30"/>
  <c r="I10" i="30" a="1"/>
  <c r="I10" i="30"/>
  <c r="I23" i="30" a="1"/>
  <c r="I23" i="30"/>
  <c r="I17" i="30" a="1"/>
  <c r="I17" i="30"/>
  <c r="I13" i="30" a="1"/>
  <c r="I13" i="30"/>
  <c r="I7" i="30" a="1"/>
  <c r="I7" i="30"/>
  <c r="I6" i="30" a="1"/>
  <c r="I6" i="30"/>
  <c r="N20" i="32"/>
  <c r="H20" i="32"/>
  <c r="E20" i="32"/>
  <c r="K20" i="32"/>
  <c r="Q20" i="32"/>
  <c r="I5" i="30" a="1"/>
  <c r="I5" i="30"/>
  <c r="C90" i="22"/>
  <c r="R7" i="40"/>
  <c r="C94" i="22"/>
  <c r="R2" i="40"/>
  <c r="C92" i="22"/>
  <c r="R4" i="40"/>
  <c r="R28" i="40"/>
  <c r="R35" i="40"/>
  <c r="R50" i="40"/>
  <c r="R42" i="40"/>
  <c r="R26" i="40"/>
  <c r="R9" i="40"/>
  <c r="R38" i="40"/>
  <c r="R33" i="40"/>
  <c r="R13" i="40"/>
  <c r="R22" i="40"/>
  <c r="R24" i="40"/>
  <c r="R40" i="40"/>
  <c r="R19" i="40"/>
  <c r="R17" i="40"/>
  <c r="R45" i="40"/>
  <c r="R48" i="40"/>
  <c r="R43" i="40"/>
  <c r="R11" i="40"/>
  <c r="R52" i="40"/>
  <c r="R31" i="40"/>
  <c r="R15" i="40"/>
</calcChain>
</file>

<file path=xl/comments1.xml><?xml version="1.0" encoding="utf-8"?>
<comments xmlns="http://schemas.openxmlformats.org/spreadsheetml/2006/main">
  <authors>
    <author>David Sayers</author>
  </authors>
  <commentList>
    <comment ref="E15" authorId="0" shapeId="0">
      <text>
        <r>
          <rPr>
            <b/>
            <sz val="8"/>
            <color indexed="81"/>
            <rFont val="Tahoma"/>
            <family val="2"/>
          </rPr>
          <t>n/a (not applicable).</t>
        </r>
        <r>
          <rPr>
            <sz val="8"/>
            <color indexed="81"/>
            <rFont val="Tahoma"/>
            <family val="2"/>
          </rPr>
          <t xml:space="preserve"> Select this grading only if the water utility purchases/imports all of its water resources (i.e. has no sources of its own)
</t>
        </r>
        <r>
          <rPr>
            <b/>
            <sz val="8"/>
            <color indexed="10"/>
            <rFont val="Tahoma"/>
            <family val="2"/>
          </rPr>
          <t>1.</t>
        </r>
        <r>
          <rPr>
            <sz val="8"/>
            <color indexed="10"/>
            <rFont val="Tahoma"/>
            <family val="2"/>
          </rPr>
          <t xml:space="preserve"> Less than 25% of water production sources are metered, remaining sources are estimated.  No regular meter accuracy testing or electronic calibration conducted.</t>
        </r>
        <r>
          <rPr>
            <sz val="8"/>
            <color indexed="81"/>
            <rFont val="Tahoma"/>
            <family val="2"/>
          </rPr>
          <t xml:space="preserve">
</t>
        </r>
        <r>
          <rPr>
            <b/>
            <sz val="8"/>
            <color indexed="53"/>
            <rFont val="Tahoma"/>
            <family val="2"/>
          </rPr>
          <t>2.</t>
        </r>
        <r>
          <rPr>
            <sz val="8"/>
            <color indexed="53"/>
            <rFont val="Tahoma"/>
            <family val="2"/>
          </rPr>
          <t xml:space="preserve"> 25% - 50% of treated water production sources are metered; other sources estimated.  No regular meter accuracy testing or electronic calibration conducted. </t>
        </r>
        <r>
          <rPr>
            <sz val="8"/>
            <color indexed="81"/>
            <rFont val="Tahoma"/>
            <family val="2"/>
          </rPr>
          <t xml:space="preserve">
</t>
        </r>
        <r>
          <rPr>
            <b/>
            <sz val="8"/>
            <color indexed="81"/>
            <rFont val="Tahoma"/>
            <family val="2"/>
          </rPr>
          <t xml:space="preserve">3. </t>
        </r>
        <r>
          <rPr>
            <sz val="8"/>
            <color indexed="81"/>
            <rFont val="Tahoma"/>
            <family val="2"/>
          </rPr>
          <t xml:space="preserve">Conditions between 2 and 4
</t>
        </r>
        <r>
          <rPr>
            <b/>
            <sz val="8"/>
            <color indexed="20"/>
            <rFont val="Tahoma"/>
            <family val="2"/>
          </rPr>
          <t>4.</t>
        </r>
        <r>
          <rPr>
            <sz val="8"/>
            <color indexed="20"/>
            <rFont val="Tahoma"/>
            <family val="2"/>
          </rPr>
          <t xml:space="preserve"> 50% - 75% of treated water production sources are metered, other sources estimated.  Occasional meter accuracy testing or electronic calibration conducted.</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75% of treated water production sources are metered, or at least 90% of the source flow is derived from metered sources.  Meter accuracy testing and/or electronic calibration of related instrumentation is conducted annually.  Less than 25% of tested meters are found outside of +/- 6% accuracy.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100% of treated water production sources are metered, meter accuracy testing and electronic calibration of related instrumentation is conducted annually, less than 10% of meters are found outside of +/- 6% accuracy
</t>
        </r>
        <r>
          <rPr>
            <b/>
            <sz val="8"/>
            <color indexed="12"/>
            <rFont val="Tahoma"/>
            <family val="2"/>
          </rPr>
          <t>9.</t>
        </r>
        <r>
          <rPr>
            <sz val="8"/>
            <color indexed="12"/>
            <rFont val="Tahoma"/>
            <family val="2"/>
          </rPr>
          <t xml:space="preserve"> Conditions between 8 and 10</t>
        </r>
        <r>
          <rPr>
            <sz val="8"/>
            <color indexed="81"/>
            <rFont val="Tahoma"/>
            <family val="2"/>
          </rPr>
          <t xml:space="preserve">
</t>
        </r>
        <r>
          <rPr>
            <b/>
            <sz val="8"/>
            <color indexed="17"/>
            <rFont val="Tahoma"/>
            <family val="2"/>
          </rPr>
          <t>10.</t>
        </r>
        <r>
          <rPr>
            <sz val="8"/>
            <color indexed="17"/>
            <rFont val="Tahoma"/>
            <family val="2"/>
          </rPr>
          <t xml:space="preserve"> 100% of treated water production sources are metered, meter accuracy testing and electronic calibration of related instrumentation is conducted semi-annually, with less than 10% found outside of +/- 3% accuracy.  Procedures are reviewed by a third party knowledgeable in the M36 methodology.    </t>
        </r>
      </text>
    </comment>
    <comment ref="J15" authorId="0" shapeId="0">
      <text>
        <r>
          <rPr>
            <b/>
            <sz val="8"/>
            <color indexed="81"/>
            <rFont val="Tahoma"/>
            <family val="2"/>
          </rPr>
          <t xml:space="preserve">n/a (not applicable). </t>
        </r>
        <r>
          <rPr>
            <sz val="8"/>
            <color indexed="81"/>
            <rFont val="Tahoma"/>
            <family val="2"/>
          </rPr>
          <t xml:space="preserve">Select n/a only if the water utility fails to have meters on its sources of supply 
</t>
        </r>
        <r>
          <rPr>
            <b/>
            <sz val="8"/>
            <color indexed="10"/>
            <rFont val="Tahoma"/>
            <family val="2"/>
          </rPr>
          <t>1.</t>
        </r>
        <r>
          <rPr>
            <sz val="8"/>
            <color indexed="10"/>
            <rFont val="Tahoma"/>
            <family val="2"/>
          </rPr>
          <t xml:space="preserve"> Inventory information on meters and paper records of measured volumes exist but are incomplete and/or in a very crude condition; data error cannot be determined.</t>
        </r>
        <r>
          <rPr>
            <sz val="8"/>
            <color indexed="81"/>
            <rFont val="Tahoma"/>
            <family val="2"/>
          </rPr>
          <t xml:space="preserve">
</t>
        </r>
        <r>
          <rPr>
            <b/>
            <sz val="8"/>
            <color indexed="53"/>
            <rFont val="Tahoma"/>
            <family val="2"/>
          </rPr>
          <t>2.</t>
        </r>
        <r>
          <rPr>
            <sz val="8"/>
            <color indexed="53"/>
            <rFont val="Tahoma"/>
            <family val="2"/>
          </rPr>
          <t xml:space="preserve"> No automatic datalogging of production volumes; daily readings are scribed on paper records without any accountability controls.  Flows are not balanced across the water distribution system: tank/storage elevation changes are not employed in calculating the "Volume from own sources" component and archived flow data is adjusted only when grossly evident data error occurs.</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Production meter data is logged automatically in electronic format and reviewed at least on a monthly basis with necessary corrections implemented.  "Volume from own sources" tabulations include estimate of daily changes in tanks/storage facilities.  Meter data is adjusted when gross data errors occur, or occasional meter testing deems this necessary.</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Hourly production meter data logged automatically &amp; reviewed on at least a weekly basis.  Data is adjusted to correct gross error when meter/instrumentation equipment malfunction is detected; and/or error is confirmed by meter accuracy testing.  Tank/storage facility elevation changes are automatically used in calculating a balanced "Volume from own sources" component, and data gaps in the archived data are corrected on at least a weekly basis.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Continuous production meter data is logged automatically &amp; reviewed each business day.  Data is adjusted to correct gross error from detected meter/instrumentation equipment malfunction and/or results of meter accuracy testing.  Tank/storage facility elevation changes are automatically used in "Volume from own sources" tabulations and data gaps in the archived data are corrected on a daily basis.</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Computerized system (SCADA or similar) automatically balances flows from all sources and storages; results are reviewed each business day.  Tight accountability controls ensure that all data gaps that occur in the archived flow data are quickly detected and corrected. Regular calibrations between SCADA and sources meters ensures minimal data transfer error.  </t>
        </r>
      </text>
    </comment>
    <comment ref="E16" authorId="0" shapeId="0">
      <text>
        <r>
          <rPr>
            <b/>
            <sz val="8"/>
            <color indexed="81"/>
            <rFont val="Tahoma"/>
            <family val="2"/>
          </rPr>
          <t>n/a (not applicable).</t>
        </r>
        <r>
          <rPr>
            <sz val="8"/>
            <color indexed="81"/>
            <rFont val="Tahoma"/>
            <family val="2"/>
          </rPr>
          <t xml:space="preserve"> Select n/a if the water utility's supply is exclusively from its own water resources (no bulk purchased/ imported water)
</t>
        </r>
        <r>
          <rPr>
            <b/>
            <sz val="8"/>
            <color indexed="10"/>
            <rFont val="Tahoma"/>
            <family val="2"/>
          </rPr>
          <t>1.</t>
        </r>
        <r>
          <rPr>
            <sz val="8"/>
            <color indexed="10"/>
            <rFont val="Tahoma"/>
            <family val="2"/>
          </rPr>
          <t xml:space="preserve"> Less than 25% of imported water sources are metered, remaining sources are estimated.  No regular meter accuracy testing.</t>
        </r>
        <r>
          <rPr>
            <sz val="8"/>
            <color indexed="81"/>
            <rFont val="Tahoma"/>
            <family val="2"/>
          </rPr>
          <t xml:space="preserve">
</t>
        </r>
        <r>
          <rPr>
            <b/>
            <sz val="8"/>
            <color indexed="53"/>
            <rFont val="Tahoma"/>
            <family val="2"/>
          </rPr>
          <t>2.</t>
        </r>
        <r>
          <rPr>
            <sz val="8"/>
            <color indexed="53"/>
            <rFont val="Tahoma"/>
            <family val="2"/>
          </rPr>
          <t xml:space="preserve"> 25% - 50% of imported water sources are metered; other sources estimated.  No regular meter accuracy testing.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 xml:space="preserve">4. </t>
        </r>
        <r>
          <rPr>
            <sz val="8"/>
            <color indexed="20"/>
            <rFont val="Tahoma"/>
            <family val="2"/>
          </rPr>
          <t>50% - 75% of imported water sources are metered, other sources estimated.  Occasional meter accuracy testing conducted.</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75% of imported water sources are metered, meter accuracy testing and/or electronic calibration of related instrumentation is conducted annually for all meter installations.  Less than 25% of tested meters are found outside of +/- 6% accuracy.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100% of imported water sources are metered, meter accuracy testing and electronic calibration of related instrumentation is conducted annually, less than 10% of meters are found outside of +/- 6% accuracy.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 xml:space="preserve">10. </t>
        </r>
        <r>
          <rPr>
            <sz val="8"/>
            <color indexed="17"/>
            <rFont val="Tahoma"/>
            <family val="2"/>
          </rPr>
          <t>100% of imported water sources are metered, meter accuracy testing and electronic calibration of related instrumentation is conducted semi-annually for all meter installations, with less than 10% of accuracy tests found outside of +/- 3% accuracy.</t>
        </r>
        <r>
          <rPr>
            <sz val="8"/>
            <color indexed="81"/>
            <rFont val="Tahoma"/>
            <family val="2"/>
          </rPr>
          <t xml:space="preserve">     </t>
        </r>
      </text>
    </comment>
    <comment ref="J16" authorId="0" shapeId="0">
      <text>
        <r>
          <rPr>
            <b/>
            <sz val="8"/>
            <color indexed="81"/>
            <rFont val="Tahoma"/>
            <family val="2"/>
          </rPr>
          <t>n/a (not applicable).</t>
        </r>
        <r>
          <rPr>
            <sz val="8"/>
            <color indexed="81"/>
            <rFont val="Tahoma"/>
            <family val="2"/>
          </rPr>
          <t xml:space="preserve"> Select n/a if the Imported water supply is unmetered, with Imported water quantities estimated on the billing invoices sent by the Exporter to the purchasing Utility. 
</t>
        </r>
        <r>
          <rPr>
            <b/>
            <sz val="8"/>
            <color indexed="10"/>
            <rFont val="Tahoma"/>
            <family val="2"/>
          </rPr>
          <t>1.</t>
        </r>
        <r>
          <rPr>
            <sz val="8"/>
            <color indexed="10"/>
            <rFont val="Tahoma"/>
            <family val="2"/>
          </rPr>
          <t xml:space="preserve"> Inventory information on imported meters and paper records of measured volumes exist but are incomplete and/or in a very crude condition; data error cannot be determined   Written agreement(s) with water Exporter(s) are missing or written in vague language concerning meter management and testing. </t>
        </r>
        <r>
          <rPr>
            <sz val="8"/>
            <color indexed="81"/>
            <rFont val="Tahoma"/>
            <family val="2"/>
          </rPr>
          <t xml:space="preserve">
</t>
        </r>
        <r>
          <rPr>
            <b/>
            <sz val="8"/>
            <color indexed="53"/>
            <rFont val="Tahoma"/>
            <family val="2"/>
          </rPr>
          <t>2.</t>
        </r>
        <r>
          <rPr>
            <sz val="8"/>
            <color indexed="53"/>
            <rFont val="Tahoma"/>
            <family val="2"/>
          </rPr>
          <t xml:space="preserve"> No automatic datalogging of imported supply volumes; daily readings are scribed on paper records without any accountability controls to confirm data accuracy and the absence of errors and data gaps in recorded volumes.  Written agreement requires meter accuracy testing but is vague on the details of how and who conducts the testing.</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Imported supply metered flow data is logged automatically in electronic format and reviewed at least on a monthly basis by the Exporter with necessary corrections implemented.  Meter data is adjusted by the Exporter when gross data errors are detected.  A coherent data trail exists for this process to protect both the selling and the purchasing Utility.  Written agreement exists and clearly states requirements and roles for meter accuracy testing and data management.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Hourly Imported supply metered data is logged automatically &amp; reviewed on at least a weekly basis by the Exporter.  Data is adjusted to correct gross error when meter/instrumentation equipment malfunction is detected; and to correct for error confirmed by meter accuracy testing.  Any data gaps in the archived data are detected and corrected during the weekly review.  A coherent data trail exists for this process to protect both the selling and the purchasing Utility.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Continuous Imported supply metered flow data is logged automatically &amp; reviewed each business day by the Importer.  Data is adjusted to correct gross error from detected meter/instrumentation equipment malfunction and/or results of meter accuracy testing.  Any data errors/gaps are detected and corrected on a daily basis.  A data trail exists for the process to protect both the selling and the purchasing Utility.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 xml:space="preserve">10. </t>
        </r>
        <r>
          <rPr>
            <sz val="8"/>
            <color indexed="17"/>
            <rFont val="Tahoma"/>
            <family val="2"/>
          </rPr>
          <t>Computerized system (SCADA or similar) automatically records data which is reviewed each business day by the Exporter.  Tight accountability controls ensure that all error/data gaps that occur in the archived flow data are quickly detected and corrected.  A reliable data trail exists and contract provisions for meter testing and data management are reviewed by the selling and purchasing Utility at least once every five years.</t>
        </r>
        <r>
          <rPr>
            <sz val="8"/>
            <color indexed="81"/>
            <rFont val="Tahoma"/>
            <family val="2"/>
          </rPr>
          <t xml:space="preserve">  </t>
        </r>
      </text>
    </comment>
    <comment ref="E17" authorId="0" shapeId="0">
      <text>
        <r>
          <rPr>
            <b/>
            <sz val="8"/>
            <color indexed="81"/>
            <rFont val="Tahoma"/>
            <family val="2"/>
          </rPr>
          <t>n/a (not applicable).</t>
        </r>
        <r>
          <rPr>
            <sz val="8"/>
            <color indexed="81"/>
            <rFont val="Tahoma"/>
            <family val="2"/>
          </rPr>
          <t xml:space="preserve"> Select n/a if the water utility sells no bulk water to neighboring water utilities (no exported water sales)
</t>
        </r>
        <r>
          <rPr>
            <b/>
            <sz val="8"/>
            <color indexed="10"/>
            <rFont val="Tahoma"/>
            <family val="2"/>
          </rPr>
          <t>1.</t>
        </r>
        <r>
          <rPr>
            <sz val="8"/>
            <color indexed="10"/>
            <rFont val="Tahoma"/>
            <family val="2"/>
          </rPr>
          <t xml:space="preserve"> Less than 25% of exported water sources are metered, remaining sources are estimated.  No regular meter accuracy testing.</t>
        </r>
        <r>
          <rPr>
            <sz val="8"/>
            <color indexed="81"/>
            <rFont val="Tahoma"/>
            <family val="2"/>
          </rPr>
          <t xml:space="preserve">
</t>
        </r>
        <r>
          <rPr>
            <b/>
            <sz val="8"/>
            <color indexed="53"/>
            <rFont val="Tahoma"/>
            <family val="2"/>
          </rPr>
          <t>2.</t>
        </r>
        <r>
          <rPr>
            <sz val="8"/>
            <color indexed="53"/>
            <rFont val="Tahoma"/>
            <family val="2"/>
          </rPr>
          <t xml:space="preserve"> 25% - 50% of exported water sources are metered; other sources estimated.  No regular meter accuracy testing.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50% - 75% of exported water sources are metered, other sources estimated.  Occasional meter accuracy testing conducted.</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75% of exported water sources are metered, meter accuracy testing and/or electronic calibration conducted annually.  Less than 25% of tested meters are found outside of +/- 6% accuracy.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100% of exported water sources are metered, meter accuracy testing and electronic calibration of related instrumentation is conducted annually, less than 10% of meters are found outside of +/- 6% accuracy.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100% of exported water sources are metered, meter accuracy testing and electronic calibration of related instrumentation is conducted semi-annually for all meter installations, with less than 10% of accuracy tests found outside of +/- 3% accuracy.</t>
        </r>
      </text>
    </comment>
    <comment ref="J17" authorId="0" shapeId="0">
      <text>
        <r>
          <rPr>
            <b/>
            <sz val="8"/>
            <color indexed="81"/>
            <rFont val="Tahoma"/>
            <family val="2"/>
          </rPr>
          <t>n/a (not applicable).</t>
        </r>
        <r>
          <rPr>
            <sz val="8"/>
            <color indexed="81"/>
            <rFont val="Tahoma"/>
            <family val="2"/>
          </rPr>
          <t xml:space="preserve"> Select n/a only if the water utility fails to have meters on its exported supply interconnections. 
</t>
        </r>
        <r>
          <rPr>
            <b/>
            <sz val="8"/>
            <color indexed="10"/>
            <rFont val="Tahoma"/>
            <family val="2"/>
          </rPr>
          <t>1.</t>
        </r>
        <r>
          <rPr>
            <sz val="8"/>
            <color indexed="10"/>
            <rFont val="Tahoma"/>
            <family val="2"/>
          </rPr>
          <t xml:space="preserve"> Inventory information on exported meters and paper records of measured volumes exist but are incomplete and/or in a very crude condition; data error cannot be determined   Written agreement(s) with the utility purchasing the water are missing or written in vague language concerning meter management and testing. </t>
        </r>
        <r>
          <rPr>
            <sz val="8"/>
            <color indexed="81"/>
            <rFont val="Tahoma"/>
            <family val="2"/>
          </rPr>
          <t xml:space="preserve">
</t>
        </r>
        <r>
          <rPr>
            <b/>
            <sz val="8"/>
            <color indexed="53"/>
            <rFont val="Tahoma"/>
            <family val="2"/>
          </rPr>
          <t>2.</t>
        </r>
        <r>
          <rPr>
            <sz val="8"/>
            <color indexed="53"/>
            <rFont val="Tahoma"/>
            <family val="2"/>
          </rPr>
          <t xml:space="preserve"> No automatic datalogging of exported supply volumes; daily readings are scribed on paper records without any accountability controls to confirm data accuracy and the absence of errors and data gaps in recorded volumes.  Written agreement requires meter accuracy testing but is vague on the details of how and who conducts the testing.</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Exported metered flow data is logged automatically in electronic format and reviewed at least on a monthly basis, with necessary corrections implemented.  Meter data is adjusted by the utility selling (exporting) the water when gross data errors are detected.  A coherent data trail exists for this process to protect both the utility exporting the water and the purchasing Utility.  Written agreement exists and clearly states requirements and roles for meter accuracy testing and data management.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Hourly exported supply metered data is logged automatically &amp; reviewed on at least a weekly basis by the utility selling the water.  Data is adjusted to correct gross error when meter/instrumentation equipment malfunction is detected; and to correct for error found by meter accuracy testing.  Any data gaps in the archived data are detected and corrected during the weekly review.  A coherent data trail exists for this process to protect both the selling (exporting) utility and the purchasing Utility.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Continuous exported supply metered flow data is logged automatically &amp; reviewed each business day by the utility selling (exporting) the water.  Data is adjusted to correct gross error from detected meter/instrumentation equipment malfunction and any error confirmed by meter accuracy testing.  Any data errors/gaps are detected and corrected on a daily basis.  A data trail exists for the process to protect both the selling (exporting) Utility and the purchasing Utility.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Computerized system (SCADA or similar) automatically records data which is reviewed each business day by the utility selling (exporting) the water.  Tight accountability controls ensure that all error/data gaps that occur in the archived flow data are quickly detected and corrected.  A reliable data trail exists and contract provisions for meter testing and data management are reviewed by the selling Utility and purchasing Utility at least once every five years.</t>
        </r>
      </text>
    </comment>
    <comment ref="E23" authorId="0" shapeId="0">
      <text>
        <r>
          <rPr>
            <b/>
            <sz val="8"/>
            <color indexed="81"/>
            <rFont val="Tahoma"/>
            <family val="2"/>
          </rPr>
          <t>n/a (not applicable).</t>
        </r>
        <r>
          <rPr>
            <sz val="8"/>
            <color indexed="81"/>
            <rFont val="Tahoma"/>
            <family val="2"/>
          </rPr>
          <t xml:space="preserve"> Select n/a only if the entire customer population is not metered and is billed for water service on a flat or fixed rate basis. In such a case the volume entered must be zero.
</t>
        </r>
        <r>
          <rPr>
            <b/>
            <sz val="8"/>
            <color indexed="10"/>
            <rFont val="Tahoma"/>
            <family val="2"/>
          </rPr>
          <t>1.</t>
        </r>
        <r>
          <rPr>
            <sz val="8"/>
            <color indexed="10"/>
            <rFont val="Tahoma"/>
            <family val="2"/>
          </rPr>
          <t xml:space="preserve"> Less than 50% of customers with volume-based billings from meter readings; flat or fixed rate billing exists for the majority of the customer population.</t>
        </r>
        <r>
          <rPr>
            <sz val="8"/>
            <color indexed="81"/>
            <rFont val="Tahoma"/>
            <family val="2"/>
          </rPr>
          <t xml:space="preserve">
</t>
        </r>
        <r>
          <rPr>
            <b/>
            <sz val="8"/>
            <color indexed="53"/>
            <rFont val="Tahoma"/>
            <family val="2"/>
          </rPr>
          <t>2.</t>
        </r>
        <r>
          <rPr>
            <sz val="8"/>
            <color indexed="53"/>
            <rFont val="Tahoma"/>
            <family val="2"/>
          </rPr>
          <t xml:space="preserve"> At least 50% of customers with volume-based billing from meter reads; flat rate billing for others.  Manual meter reading is conducted, with less than 50% meter read success rate, remaining accounts' consumption is estimated.  Limited meter records, no regular meter testing or replacement.  Billing data maintained on paper records, with no auditing.</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At least 75% of customers with volume-based, billing from meter reads; flat or fixed rate billing for remaining accounts.  Manual meter reading is conducted with at least 50% meter read success rate; consumption for accounts with failed reads is estimated.  Purchase records verify age of customer meters; only very limited meter accuracy testing is conducted.  Customer meters are replaced only upon complete failure.  Computerized billing records exist, but only sporadic internal auditing conducted.</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90% of customers with volume-based billing from meter reads; consumption for remaining accounts is estimated.  Manual customer meter reading gives at least 80% customer meter reading success rate; consumption for accounts with failed reads is estimated.  Good customer meter records exist, but only limited meter accuracy testing is conducted.  Regular replacement is conducted for the oldest meters.  Computerized billing records exist with annual auditing of summary statistics conducting by utility personnel.</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At least 97% of customers exist with volume-based billing from meter reads.  At least 90% customer meter reading success rate; or at least 80% read success rate with planning and budgeting for trials of Automatic Meter Reading (AMR) or Advanced Metering Infrastructure (AMI) in one or more pilot areas.  Good customer meter records. Regular meter accuracy testing guides replacement of statistically significant number of meters each year.  Routine auditing of computerized billing records for global and detailed statistics occurs annually by utility personnel, and is verified by third party at least once every five years.</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At least 99% of customers exist with volume-based billing from meter reads.  At least 95% customer meter reading success rate; or minimum 80% meter reading success rate, with Automatic Meter Reading (AMR) or Advanced Metering Infrastructure (AMI) trials underway.  Statistically significant customer meter testing and replacement program in place on a continuous basis.  Computerized billing with routine, detailed auditing, including field investigation of representative sample of accounts undertaken annually by utility personnel.  Audit is conducted by third party auditors at least once every three years.</t>
        </r>
      </text>
    </comment>
    <comment ref="G23" authorId="0" shapeId="0">
      <text>
        <r>
          <rPr>
            <b/>
            <sz val="8"/>
            <color indexed="81"/>
            <rFont val="Tahoma"/>
            <family val="2"/>
          </rPr>
          <t xml:space="preserve">Please ensure water exported (if any) is </t>
        </r>
        <r>
          <rPr>
            <b/>
            <u/>
            <sz val="8"/>
            <color indexed="81"/>
            <rFont val="Tahoma"/>
            <family val="2"/>
          </rPr>
          <t>excluded</t>
        </r>
        <r>
          <rPr>
            <b/>
            <sz val="8"/>
            <color indexed="81"/>
            <rFont val="Tahoma"/>
            <family val="2"/>
          </rPr>
          <t xml:space="preserve"> from the input value for this component</t>
        </r>
      </text>
    </comment>
    <comment ref="E24" authorId="0" shapeId="0">
      <text>
        <r>
          <rPr>
            <b/>
            <sz val="8"/>
            <color indexed="81"/>
            <rFont val="Tahoma"/>
            <family val="2"/>
          </rPr>
          <t>n/a (not applicable).</t>
        </r>
        <r>
          <rPr>
            <sz val="8"/>
            <color indexed="81"/>
            <rFont val="Tahoma"/>
            <family val="2"/>
          </rPr>
          <t xml:space="preserve"> Select n/a if it is the policy of the water utility to meter all customer connections and it has been confirmed by detailed auditing that all customers do indeed have a water meter; i.e. no intentionally unmetered accounts exist
</t>
        </r>
        <r>
          <rPr>
            <b/>
            <sz val="8"/>
            <color indexed="10"/>
            <rFont val="Tahoma"/>
            <family val="2"/>
          </rPr>
          <t>1.</t>
        </r>
        <r>
          <rPr>
            <sz val="8"/>
            <color indexed="10"/>
            <rFont val="Tahoma"/>
            <family val="2"/>
          </rPr>
          <t xml:space="preserve"> Water utility policy does not require customer metering; flat or fixed fee billing is employed.  No data is collected on customer consumption.  The only estimates of customer population consumption available are derived from data estimation methods using average fixture count multiplied by number of connections, or similar approach.</t>
        </r>
        <r>
          <rPr>
            <sz val="8"/>
            <color indexed="81"/>
            <rFont val="Tahoma"/>
            <family val="2"/>
          </rPr>
          <t xml:space="preserve">
</t>
        </r>
        <r>
          <rPr>
            <b/>
            <sz val="8"/>
            <color indexed="53"/>
            <rFont val="Tahoma"/>
            <family val="2"/>
          </rPr>
          <t>2.</t>
        </r>
        <r>
          <rPr>
            <sz val="8"/>
            <color indexed="53"/>
            <rFont val="Tahoma"/>
            <family val="2"/>
          </rPr>
          <t xml:space="preserve"> Water utility policy does not require customer metering; flat or fixed fee billing is employed.  Some metered accounts exist in parts of the system (pilot areas or District Metered Areas) with consumption read periodically or recorded on portable dataloggers over one, three, or seven day periods.  Data from these sample meters are used to infer consumption for the total customer population.  Site specific estimation methods are used for unusual buildings/water uses.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Water utility policy does require metering and volume based billing in general.  However, a liberal amount of exemptions and a lack of clearly written and communicated procedures result in up to 20% of billed accounts believed to be unmetered by exemption; or the water utility is in transition to becoming fully metered, and a large number of customers remain unmetered.  A rough estimate of  the annual consumption for all unmetered accounts is included in the annual water audit, with no inspection of individual unmetered accounts</t>
        </r>
        <r>
          <rPr>
            <b/>
            <sz val="8"/>
            <color indexed="20"/>
            <rFont val="Tahoma"/>
            <family val="2"/>
          </rPr>
          <t>.</t>
        </r>
        <r>
          <rPr>
            <b/>
            <sz val="8"/>
            <color indexed="81"/>
            <rFont val="Tahoma"/>
            <family val="2"/>
          </rPr>
          <t xml:space="preserve">
5.</t>
        </r>
        <r>
          <rPr>
            <sz val="8"/>
            <color indexed="81"/>
            <rFont val="Tahoma"/>
            <family val="2"/>
          </rPr>
          <t xml:space="preserve"> Conditions between 4 and 6
</t>
        </r>
        <r>
          <rPr>
            <b/>
            <sz val="8"/>
            <color indexed="62"/>
            <rFont val="Tahoma"/>
            <family val="2"/>
          </rPr>
          <t>6.</t>
        </r>
        <r>
          <rPr>
            <sz val="8"/>
            <color indexed="62"/>
            <rFont val="Tahoma"/>
            <family val="2"/>
          </rPr>
          <t xml:space="preserve"> Water utility policy does require metering and volume based billing but established exemptions exist for a portion of accounts such as municipal buildings.  As many as 15% of billed accounts are unmetered due to this exemption or meter installation difficulties.  Only a group estimate of annual consumption for all unmetered accounts is included in the annual water audit, with no inspection of individual unmetered accounts.</t>
        </r>
        <r>
          <rPr>
            <b/>
            <sz val="8"/>
            <color indexed="81"/>
            <rFont val="Tahoma"/>
            <family val="2"/>
          </rPr>
          <t xml:space="preserve">
7.</t>
        </r>
        <r>
          <rPr>
            <sz val="8"/>
            <color indexed="81"/>
            <rFont val="Tahoma"/>
            <family val="2"/>
          </rPr>
          <t xml:space="preserve"> Conditions between 6 and 8
</t>
        </r>
        <r>
          <rPr>
            <b/>
            <sz val="8"/>
            <color indexed="12"/>
            <rFont val="Tahoma"/>
            <family val="2"/>
          </rPr>
          <t>8.</t>
        </r>
        <r>
          <rPr>
            <sz val="8"/>
            <color indexed="12"/>
            <rFont val="Tahoma"/>
            <family val="2"/>
          </rPr>
          <t xml:space="preserve"> Water utility policy does require metering and volume based billing for all customer accounts.  However, less than 5% of billed accounts remain unmetered because meter  installation is hindered by unusual circumstances.  The goal is to minimize the number of unmetered accounts.  Reliable estimates of consumption are obtained for these unmetered accounts via site specific estimation methods.</t>
        </r>
        <r>
          <rPr>
            <sz val="8"/>
            <color indexed="81"/>
            <rFont val="Tahoma"/>
            <family val="2"/>
          </rPr>
          <t xml:space="preserve">
</t>
        </r>
        <r>
          <rPr>
            <b/>
            <sz val="8"/>
            <color indexed="81"/>
            <rFont val="Tahoma"/>
            <family val="2"/>
          </rPr>
          <t>9.</t>
        </r>
        <r>
          <rPr>
            <sz val="8"/>
            <color indexed="81"/>
            <rFont val="Tahoma"/>
            <family val="2"/>
          </rPr>
          <t xml:space="preserve"> Conditions between 8 and 10</t>
        </r>
        <r>
          <rPr>
            <b/>
            <sz val="8"/>
            <color indexed="81"/>
            <rFont val="Tahoma"/>
            <family val="2"/>
          </rPr>
          <t xml:space="preserve">
</t>
        </r>
        <r>
          <rPr>
            <b/>
            <sz val="8"/>
            <color indexed="17"/>
            <rFont val="Tahoma"/>
            <family val="2"/>
          </rPr>
          <t>10.</t>
        </r>
        <r>
          <rPr>
            <sz val="8"/>
            <color indexed="17"/>
            <rFont val="Tahoma"/>
            <family val="2"/>
          </rPr>
          <t xml:space="preserve"> Water utility policy does require metering and volume based billing for all customer accounts.  Less than 2% of billed accounts are unmetered and exist because meter installation is hindered by unusual circumstances.  The goal exists to minimize the number of unmetered accounts to the extent that is economical.  Reliable estimates of consumption are obtained at these accounts via site specific estimation methods.</t>
        </r>
      </text>
    </comment>
    <comment ref="E25" authorId="0" shapeId="0">
      <text>
        <r>
          <rPr>
            <b/>
            <sz val="8"/>
            <color indexed="81"/>
            <rFont val="Tahoma"/>
            <family val="2"/>
          </rPr>
          <t>n/a (not applicable).</t>
        </r>
        <r>
          <rPr>
            <sz val="8"/>
            <color indexed="81"/>
            <rFont val="Tahoma"/>
            <family val="2"/>
          </rPr>
          <t xml:space="preserve"> select n/a if all billing-exempt consumption is unmetered.  
</t>
        </r>
        <r>
          <rPr>
            <b/>
            <sz val="8"/>
            <color indexed="10"/>
            <rFont val="Tahoma"/>
            <family val="2"/>
          </rPr>
          <t>1.</t>
        </r>
        <r>
          <rPr>
            <sz val="8"/>
            <color indexed="10"/>
            <rFont val="Tahoma"/>
            <family val="2"/>
          </rPr>
          <t xml:space="preserve"> Billing practices exempt certain accounts, such as municipal buildings, but written policies do not exist; and a reliable count of unbilled metered accounts is unavailable.  Meter upkeep and meter reading on these accounts is rare and not considered a priority.  Due to poor recordkeeping and lack of auditing, water consumption for all such accounts is purely guesstimated.  </t>
        </r>
        <r>
          <rPr>
            <sz val="8"/>
            <color indexed="81"/>
            <rFont val="Tahoma"/>
            <family val="2"/>
          </rPr>
          <t xml:space="preserve">     
</t>
        </r>
        <r>
          <rPr>
            <b/>
            <sz val="8"/>
            <color indexed="53"/>
            <rFont val="Tahoma"/>
            <family val="2"/>
          </rPr>
          <t>2.</t>
        </r>
        <r>
          <rPr>
            <sz val="8"/>
            <color indexed="53"/>
            <rFont val="Tahoma"/>
            <family val="2"/>
          </rPr>
          <t xml:space="preserve"> Billing practices exempt certain accounts, such as municipal buildings, but only scattered, dated written directives exist to justify this practice.  A reliable count of unbilled metered accounts is unavailable.  Sporadic meter replacement and meter reading occurs on an as-needed basis.  The total annual water consumption for all unbilled, metered accounts is estimated based upon approximating the number of accounts and assigning consumption from actively billed accounts of same meter size.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Dated written procedures permit billing exemption for specific accounts, such as municipal properties, but are unclear regarding certain other types of accounts.  Meter reading is given low priority and is sporadic.   Consumption is quantified from meter readings where available.  The total number of unbilled, unmetered accounts must be estimated along with consumption volumes.  </t>
        </r>
        <r>
          <rPr>
            <sz val="8"/>
            <color indexed="81"/>
            <rFont val="Tahoma"/>
            <family val="2"/>
          </rPr>
          <t xml:space="preserve">        </t>
        </r>
        <r>
          <rPr>
            <b/>
            <sz val="8"/>
            <color indexed="81"/>
            <rFont val="Tahoma"/>
            <family val="2"/>
          </rPr>
          <t xml:space="preserve">
5.</t>
        </r>
        <r>
          <rPr>
            <sz val="8"/>
            <color indexed="81"/>
            <rFont val="Tahoma"/>
            <family val="2"/>
          </rPr>
          <t xml:space="preserve"> Conditions between 4 and 6
</t>
        </r>
        <r>
          <rPr>
            <b/>
            <sz val="8"/>
            <color indexed="62"/>
            <rFont val="Tahoma"/>
            <family val="2"/>
          </rPr>
          <t>6.</t>
        </r>
        <r>
          <rPr>
            <sz val="8"/>
            <color indexed="62"/>
            <rFont val="Tahoma"/>
            <family val="2"/>
          </rPr>
          <t xml:space="preserve"> Written policies regarding billing exemptions exist but adherence in practice is questionable.  Metering and meter reading for municipal buildings is reliable but sporadic for other unbilled metered accounts.  Periodic auditing of such accounts is conducted.  Water consumption is quantified directly from meter readings where available, but the majority of the consumption is estimated.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Written policy identifies the types of accounts granted a billing exemption.  Customer meter management and meter reading are considered secondary priorities, but meter reading is conducted at least annually to obtain consumption volumes for the annual water audit.  High level auditing of billing records ensures that a reliable census of such accounts exists.</t>
        </r>
        <r>
          <rPr>
            <sz val="8"/>
            <color indexed="81"/>
            <rFont val="Tahoma"/>
            <family val="2"/>
          </rPr>
          <t xml:space="preserve">          </t>
        </r>
        <r>
          <rPr>
            <b/>
            <sz val="8"/>
            <color indexed="81"/>
            <rFont val="Tahoma"/>
            <family val="2"/>
          </rPr>
          <t xml:space="preserve">
9.</t>
        </r>
        <r>
          <rPr>
            <sz val="8"/>
            <color indexed="81"/>
            <rFont val="Tahoma"/>
            <family val="2"/>
          </rPr>
          <t xml:space="preserve"> Conditions between 8 and 10
</t>
        </r>
        <r>
          <rPr>
            <b/>
            <sz val="8"/>
            <color indexed="17"/>
            <rFont val="Tahoma"/>
            <family val="2"/>
          </rPr>
          <t>10.</t>
        </r>
        <r>
          <rPr>
            <sz val="8"/>
            <color indexed="17"/>
            <rFont val="Tahoma"/>
            <family val="2"/>
          </rPr>
          <t xml:space="preserve"> Clearly written policy identifies the types of accounts given a billing exemption, with emphasis on keeping such accounts to a minimum.  Customer meter management and meter reading for these accounts is given proper priority and is reliably conducted.  Regular auditing confirms this.  Total water consumption for these accounts is taken from reliable readings from accurate meters.</t>
        </r>
      </text>
    </comment>
    <comment ref="E26" authorId="0" shapeId="0">
      <text>
        <r>
          <rPr>
            <b/>
            <sz val="8"/>
            <color indexed="10"/>
            <rFont val="Tahoma"/>
            <family val="2"/>
          </rPr>
          <t>1.</t>
        </r>
        <r>
          <rPr>
            <sz val="8"/>
            <color indexed="10"/>
            <rFont val="Tahoma"/>
            <family val="2"/>
          </rPr>
          <t xml:space="preserve"> Extent of unbilled, unmetered consumption is unknown due to unclear policies and poor recordkeeping.  Total consumption is quantified based upon a purely subjective estimate. </t>
        </r>
        <r>
          <rPr>
            <sz val="8"/>
            <color indexed="81"/>
            <rFont val="Tahoma"/>
            <family val="2"/>
          </rPr>
          <t xml:space="preserve"> 
</t>
        </r>
        <r>
          <rPr>
            <b/>
            <sz val="8"/>
            <color indexed="53"/>
            <rFont val="Tahoma"/>
            <family val="2"/>
          </rPr>
          <t>2.</t>
        </r>
        <r>
          <rPr>
            <sz val="8"/>
            <color indexed="53"/>
            <rFont val="Tahoma"/>
            <family val="2"/>
          </rPr>
          <t xml:space="preserve"> Clear extent of unbilled, unmetered consumption is unknown, but a number of events are randomly documented each year, confirming existence of such consumption, but without sufficient documentation to quantify an accurate estimate of the annual volume consumed.</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Extent of unbilled, unmetered consumption is partially known, and procedures exist to document certain events such as miscellaneous fire hydrant uses.  Formulae is used to quantify the consumption from such events (time running multiplied by typical flowrate, multiplied by number of  events). </t>
        </r>
        <r>
          <rPr>
            <sz val="8"/>
            <color indexed="81"/>
            <rFont val="Tahoma"/>
            <family val="2"/>
          </rPr>
          <t xml:space="preserve"> 
</t>
        </r>
        <r>
          <rPr>
            <b/>
            <sz val="8"/>
            <color indexed="81"/>
            <rFont val="Tahoma"/>
            <family val="2"/>
          </rPr>
          <t>5.</t>
        </r>
        <r>
          <rPr>
            <sz val="8"/>
            <color indexed="81"/>
            <rFont val="Tahoma"/>
            <family val="2"/>
          </rPr>
          <t xml:space="preserve"> Default value of 1.25% of system input volume is employed
</t>
        </r>
        <r>
          <rPr>
            <b/>
            <sz val="8"/>
            <color indexed="62"/>
            <rFont val="Tahoma"/>
            <family val="2"/>
          </rPr>
          <t>6.</t>
        </r>
        <r>
          <rPr>
            <sz val="8"/>
            <color indexed="62"/>
            <rFont val="Tahoma"/>
            <family val="2"/>
          </rPr>
          <t xml:space="preserve"> Coherent policies exist for some forms of unbilled, unmetered consumption but others await closer evaluation. Reasonable recordkeeping for the managed uses exists and allows for annual volumes to be quantified by inference, but unsupervised uses are guesstimated.</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Clear policies and good recordkeeping exist for some uses (ex: water used in periodic testing of unmetered fire connections), but other uses (ex: miscellaneous uses of fire hydrants) have limited oversight.  Total consumption is a mix of well quantified use such as from formulae (time running multiplied by typical flow, multiplied by number of events) or temporary meters, and relatively subjective estimates of less regulated use.</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Clear policies exist to identify permitted use of water in unbilled, unmetered fashion, with the intention of minimizing this type of consumption.  Good records document each occurrence and consumption is quantified via formulae (time running multiplied by typical flow, multiplied by number of events) or use of temporary meters.</t>
        </r>
      </text>
    </comment>
    <comment ref="L26" authorId="0" shapeId="0">
      <text>
        <r>
          <rPr>
            <b/>
            <sz val="8"/>
            <color indexed="81"/>
            <rFont val="Tahoma"/>
            <family val="2"/>
          </rPr>
          <t>Selecting the default percentage option will automatically assign a grading of 5 for this audit component</t>
        </r>
      </text>
    </comment>
    <comment ref="E38" authorId="0" shapeId="0">
      <text>
        <r>
          <rPr>
            <b/>
            <sz val="8"/>
            <color indexed="10"/>
            <rFont val="Tahoma"/>
            <family val="2"/>
          </rPr>
          <t>1.</t>
        </r>
        <r>
          <rPr>
            <sz val="8"/>
            <color indexed="10"/>
            <rFont val="Tahoma"/>
            <family val="2"/>
          </rPr>
          <t xml:space="preserve"> Extent of unauthorized consumption is unknown due to unclear policies and poor recordkeeping.  Total unauthorized consumption is guesstimated. </t>
        </r>
        <r>
          <rPr>
            <sz val="8"/>
            <color indexed="81"/>
            <rFont val="Tahoma"/>
            <family val="2"/>
          </rPr>
          <t xml:space="preserve"> 
</t>
        </r>
        <r>
          <rPr>
            <b/>
            <sz val="8"/>
            <color indexed="53"/>
            <rFont val="Tahoma"/>
            <family val="2"/>
          </rPr>
          <t>2.</t>
        </r>
        <r>
          <rPr>
            <sz val="8"/>
            <color indexed="53"/>
            <rFont val="Tahoma"/>
            <family val="2"/>
          </rPr>
          <t xml:space="preserve"> Unauthorized consumption is a known occurrence, but its extent is a mystery.  There are no requirements to document observed events, but periodic field reports capture some of these occurrences.  Total unauthorized consumption is approximated from this limited data.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Procedures exist to document some unauthorized consumption such as observed unauthorized fire hydrant openings.  Use formulae to quantify this consumption (time running multiplied typical flowrate, multiplied by number of  events).  
</t>
        </r>
        <r>
          <rPr>
            <b/>
            <sz val="8"/>
            <color indexed="81"/>
            <rFont val="Tahoma"/>
            <family val="2"/>
          </rPr>
          <t>5.</t>
        </r>
        <r>
          <rPr>
            <sz val="8"/>
            <color indexed="81"/>
            <rFont val="Tahoma"/>
            <family val="2"/>
          </rPr>
          <t xml:space="preserve"> Default value of 0.25% of volume of water supplied is employed.
</t>
        </r>
        <r>
          <rPr>
            <b/>
            <sz val="8"/>
            <color indexed="62"/>
            <rFont val="Tahoma"/>
            <family val="2"/>
          </rPr>
          <t>6.</t>
        </r>
        <r>
          <rPr>
            <sz val="8"/>
            <color indexed="62"/>
            <rFont val="Tahoma"/>
            <family val="2"/>
          </rPr>
          <t xml:space="preserve"> Coherent policies exist for some forms of unauthorized consumption (more than simply fire hydrant misuse) but others await closer evaluation. Reasonable surveillance and recordkeeping exist for occurrences that fall under the policy.  Volumes quantified by inference from these records.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Clear policies and good auditable recordkeeping exist for certain events (ex: tampering with water meters, illegal bypasses of customer meters); but other occurrences have limited oversight.  Total consumption is a combination of volumes from formulae (time x typical flow) and subjective estimates of unconfirmed consumption.</t>
        </r>
        <r>
          <rPr>
            <b/>
            <sz val="8"/>
            <color indexed="81"/>
            <rFont val="Tahoma"/>
            <family val="2"/>
          </rPr>
          <t xml:space="preserve">
9.</t>
        </r>
        <r>
          <rPr>
            <sz val="8"/>
            <color indexed="81"/>
            <rFont val="Tahoma"/>
            <family val="2"/>
          </rPr>
          <t xml:space="preserve"> Conditions between 8 and 10
</t>
        </r>
        <r>
          <rPr>
            <b/>
            <sz val="8"/>
            <color indexed="17"/>
            <rFont val="Tahoma"/>
            <family val="2"/>
          </rPr>
          <t>10.</t>
        </r>
        <r>
          <rPr>
            <sz val="8"/>
            <color indexed="17"/>
            <rFont val="Tahoma"/>
            <family val="2"/>
          </rPr>
          <t xml:space="preserve"> Clear policies exist to identify all known unauthorized uses of water.  Staff and procedures exist to provide enforcement of policies and detect violations.  Each occurrence is recorded and quantified via formulae (estimated time running multiplied by typical flow) or similar methods.  All records and calculations should exist in a form that can be audited by a third party.</t>
        </r>
      </text>
    </comment>
    <comment ref="L38" authorId="0" shapeId="0">
      <text>
        <r>
          <rPr>
            <b/>
            <sz val="8"/>
            <color indexed="81"/>
            <rFont val="Tahoma"/>
            <family val="2"/>
          </rPr>
          <t>Selecting the default percentage option will automatically assign a grading of 5 for this audit component</t>
        </r>
      </text>
    </comment>
    <comment ref="E42" authorId="0" shapeId="0">
      <text>
        <r>
          <rPr>
            <b/>
            <sz val="8"/>
            <color indexed="81"/>
            <rFont val="Tahoma"/>
            <family val="2"/>
          </rPr>
          <t>n/a (not applicable).</t>
        </r>
        <r>
          <rPr>
            <sz val="8"/>
            <color indexed="81"/>
            <rFont val="Tahoma"/>
            <family val="2"/>
          </rPr>
          <t xml:space="preserve"> select n/a only if the entire customer population is unmetered. In such a case the volume entered must be zero.
</t>
        </r>
        <r>
          <rPr>
            <b/>
            <sz val="8"/>
            <color indexed="10"/>
            <rFont val="Tahoma"/>
            <family val="2"/>
          </rPr>
          <t>1.</t>
        </r>
        <r>
          <rPr>
            <sz val="8"/>
            <color indexed="10"/>
            <rFont val="Tahoma"/>
            <family val="2"/>
          </rPr>
          <t xml:space="preserve"> Customer meters exist, but with unorganized paper records on meters; no meter accuracy testing or meter replacement program for any size of retail meter.  Metering workflow is driven chaotically with no proactive management.  Loss volume due to aggregate meter inaccuracy is guesstimated.</t>
        </r>
        <r>
          <rPr>
            <b/>
            <sz val="8"/>
            <color indexed="81"/>
            <rFont val="Tahoma"/>
            <family val="2"/>
          </rPr>
          <t xml:space="preserve">
</t>
        </r>
        <r>
          <rPr>
            <b/>
            <sz val="8"/>
            <color indexed="53"/>
            <rFont val="Tahoma"/>
            <family val="2"/>
          </rPr>
          <t>2.</t>
        </r>
        <r>
          <rPr>
            <sz val="8"/>
            <color indexed="53"/>
            <rFont val="Tahoma"/>
            <family val="2"/>
          </rPr>
          <t xml:space="preserve"> Poor recordkeeping and meter oversight is recognized by water utility management who has allotted staff and funding resources to organize improved recordkeeping and start meter accuracy testing.  Existing paper records gathered and organized to provide cursory disposition of meter population.  Customer meters are tested for accuracy only upon customer request.</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 xml:space="preserve">4. </t>
        </r>
        <r>
          <rPr>
            <sz val="8"/>
            <color indexed="20"/>
            <rFont val="Tahoma"/>
            <family val="2"/>
          </rPr>
          <t>Reliable recordkeeping exists; meter information is improving as meters are replaced.    Meter accuracy testing is conducted annually for a small number of meters (more than just customer requests, but less than 1% of inventory).  A limited number of the oldest meters are replaced each year.  Inaccuracy volume is largely an estimate, but refined based upon limited testing data.</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 reliable electronic recordkeeping system for meters exists.  The meter population includes a mix of new high performing meters and dated meters with suspect accuracy.  Routine, but limited, meter accuracy testing and meter replacement occur.  Inaccuracy volume is quantified using a mix of reliable and less certain data.</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Ongoing meter replacement and accuracy testing result in highly accurate customer meter population.  Testing is conducted on samples of meters of varying age and accumulated volume of throughput to determine optimum replacement time for various types of meters.  </t>
        </r>
        <r>
          <rPr>
            <sz val="8"/>
            <color indexed="81"/>
            <rFont val="Tahoma"/>
            <family val="2"/>
          </rPr>
          <t xml:space="preserve">
</t>
        </r>
        <r>
          <rPr>
            <b/>
            <sz val="8"/>
            <color indexed="81"/>
            <rFont val="Tahoma"/>
            <family val="2"/>
          </rPr>
          <t>9.</t>
        </r>
        <r>
          <rPr>
            <sz val="8"/>
            <color indexed="81"/>
            <rFont val="Tahoma"/>
            <family val="2"/>
          </rPr>
          <t xml:space="preserve"> Ongoing meter replacement and accuracy testing result in highly accurate customer meter population.  Statistically significant number of meters are tested in audit year.  This testing is conducted on samples of meters of varying age and accumulated volume of throughput to determine optimum replacement time for these meters.
</t>
        </r>
        <r>
          <rPr>
            <b/>
            <sz val="8"/>
            <color indexed="17"/>
            <rFont val="Tahoma"/>
            <family val="2"/>
          </rPr>
          <t>10.</t>
        </r>
        <r>
          <rPr>
            <sz val="8"/>
            <color indexed="17"/>
            <rFont val="Tahoma"/>
            <family val="2"/>
          </rPr>
          <t xml:space="preserve"> Good records of all active customer meters exist and include as a minimum: meter number, account number/location, type, size and manufacturer.  Ongoing meter replacement occurs according to a targeted and justified basis.  Regular meter accuracy testing gives a reliable measure of composite inaccuracy volume for the customer meter population.  New metering technology is embraced to keep overall accuracy improving.  Procedures are reviewed by a third party knowledgeable in the M36 methodology.</t>
        </r>
      </text>
    </comment>
    <comment ref="L42" authorId="0" shapeId="0">
      <text>
        <r>
          <rPr>
            <b/>
            <sz val="8"/>
            <color indexed="81"/>
            <rFont val="Tahoma"/>
            <family val="2"/>
          </rPr>
          <t>Enter a percentage &lt; 10% or enter a value in the box to the right</t>
        </r>
      </text>
    </comment>
    <comment ref="E43" authorId="0" shapeId="0">
      <text>
        <r>
          <rPr>
            <b/>
            <sz val="8"/>
            <color indexed="81"/>
            <rFont val="Tahoma"/>
            <family val="2"/>
          </rPr>
          <t>n/a (not applicable).</t>
        </r>
        <r>
          <rPr>
            <sz val="8"/>
            <color indexed="81"/>
            <rFont val="Tahoma"/>
            <family val="2"/>
          </rPr>
          <t xml:space="preserve"> Note: all water utilities incur some amount of this error. Even in water utilities with unmetered customer populations and fixed rate billing, errors occur in annual billing tabulations. Enter a positive value for the volume and select a grading.
</t>
        </r>
        <r>
          <rPr>
            <b/>
            <sz val="8"/>
            <color indexed="10"/>
            <rFont val="Tahoma"/>
            <family val="2"/>
          </rPr>
          <t>1.</t>
        </r>
        <r>
          <rPr>
            <sz val="8"/>
            <color indexed="10"/>
            <rFont val="Tahoma"/>
            <family val="2"/>
          </rPr>
          <t xml:space="preserve"> Policies and procedures for activation of new customer water billing accounts are vague and lack accountability. Billing data is maintained on paper records which are not well organized.  No auditing is conducted to confirm billing data handling efficiency.  An unknown number of customers escape routine billing due to lack of billing process oversight.</t>
        </r>
        <r>
          <rPr>
            <b/>
            <sz val="8"/>
            <color indexed="81"/>
            <rFont val="Tahoma"/>
            <family val="2"/>
          </rPr>
          <t xml:space="preserve">
</t>
        </r>
        <r>
          <rPr>
            <b/>
            <sz val="8"/>
            <color indexed="53"/>
            <rFont val="Tahoma"/>
            <family val="2"/>
          </rPr>
          <t>2.</t>
        </r>
        <r>
          <rPr>
            <sz val="8"/>
            <color indexed="53"/>
            <rFont val="Tahoma"/>
            <family val="2"/>
          </rPr>
          <t xml:space="preserve"> Policy and procedures for activation of new customer accounts and oversight of billing records exist but need refinement. Billing data is maintained on paper records or insufficiently capable electronic database.  Only periodic unstructured auditing work is conducted to confirm billing data handling efficiency.  The volume of unbilled water due to billing lapses is a guess.</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Policy and procedures for new account activation and oversight of billing operations exist but needs refinement.  Computerized billing system exists, but is dated or lacks needed functionality.  Periodic, limited internal audits conducted and confirm with approximate accuracy the consumption volumes lost to billing lapses.</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Policy and procedures for new account activation and oversight of billing operations is adequate and reviewed periodically.  Computerized billing system is in use with basic reporting available.  Any effect of billing adjustments on measured consumption volumes is well understood.  Internal checks of billing data error conducted annually.  Reasonably accurate quantification of consumption volume lost to billing lapses is obtained.</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New account activation and billing operations policy and procedures are reviewed at least biannually.  Computerized billing system includes an array of reports to confirm billing data and system functionality.  Checks are conducted routinely to flag and explain zero consumption accounts.  Annual internal checks conducted with third party audit conducted at least once every five years.  Accountability checks flag billing lapses.  Consumption lost to billing lapses is well quantified and reducing year-by-year.</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Sound written policy and procedures exist for new account activation and oversight of customer billing operations.  Robust computerized billing system gives high functionality and reporting capabilities which are utilized, analyzed and the results reported each billing cycle.  Assessment of policy and data handling errors are conducted internally and audited by third party at least once every three years, ensuring consumption lost to billing lapses is minimized and detected as it occurs.</t>
        </r>
      </text>
    </comment>
    <comment ref="L43" authorId="0" shapeId="0">
      <text>
        <r>
          <rPr>
            <b/>
            <sz val="8"/>
            <color indexed="81"/>
            <rFont val="Tahoma"/>
            <family val="2"/>
          </rPr>
          <t>Selecting the default percentage option will automatically assign a grading of 5 for this audit component</t>
        </r>
      </text>
    </comment>
    <comment ref="E62" authorId="0" shapeId="0">
      <text>
        <r>
          <rPr>
            <b/>
            <sz val="8"/>
            <color indexed="10"/>
            <rFont val="Tahoma"/>
            <family val="2"/>
          </rPr>
          <t>1.</t>
        </r>
        <r>
          <rPr>
            <sz val="8"/>
            <color indexed="10"/>
            <rFont val="Tahoma"/>
            <family val="2"/>
          </rPr>
          <t xml:space="preserve"> Poorly assembled and maintained paper as-built records of existing water main installations makes accurate determination of system pipe length impossible.  Length of mains is guesstimated.</t>
        </r>
        <r>
          <rPr>
            <sz val="8"/>
            <color indexed="81"/>
            <rFont val="Tahoma"/>
            <family val="2"/>
          </rPr>
          <t xml:space="preserve">
</t>
        </r>
        <r>
          <rPr>
            <b/>
            <sz val="8"/>
            <color indexed="53"/>
            <rFont val="Tahoma"/>
            <family val="2"/>
          </rPr>
          <t>2.</t>
        </r>
        <r>
          <rPr>
            <sz val="8"/>
            <color indexed="53"/>
            <rFont val="Tahoma"/>
            <family val="2"/>
          </rPr>
          <t xml:space="preserve"> Paper records in poor or uncertain condition (no annual tracking of installations &amp; abandonments).  Poor procedures to ensure that new water mains installed by developers are accurately documented.</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Sound written policy and procedures exist for documenting new water main installations, but gaps in management result in a uncertain degree of error in tabulation of mains length.</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Sound written policy and procedures exist for permitting and commissioning new water mains.  Highly accurate paper records with regular field validation; or electronic records and asset management system in good condition.  Includes system backup.</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Sound written policy and procedures exist for permitting and commissioning new water mains.  Electronic recordkeeping such as a Geographical Information System (GIS) and asset management system are used to store and manage data.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Sound written policy exists for managing water mains extensions and replacements.  Geographic Information System (GIS) data and asset management database agree and random field validation proves truth of databases.  Records of annual field validation should be available for review.</t>
        </r>
      </text>
    </comment>
    <comment ref="E63" authorId="0" shapeId="0">
      <text>
        <r>
          <rPr>
            <b/>
            <sz val="8"/>
            <color indexed="10"/>
            <rFont val="Tahoma"/>
            <family val="2"/>
          </rPr>
          <t>1.</t>
        </r>
        <r>
          <rPr>
            <sz val="8"/>
            <color indexed="10"/>
            <rFont val="Tahoma"/>
            <family val="2"/>
          </rPr>
          <t xml:space="preserve"> Vague permitting (of new service connections) policy and poor paper recordkeeping of customer connections/billings result in suspect determination of the number of service connections, which may be 10-15% in error from actual count. </t>
        </r>
        <r>
          <rPr>
            <sz val="8"/>
            <color indexed="81"/>
            <rFont val="Tahoma"/>
            <family val="2"/>
          </rPr>
          <t xml:space="preserve">
</t>
        </r>
        <r>
          <rPr>
            <b/>
            <sz val="8"/>
            <color indexed="53"/>
            <rFont val="Tahoma"/>
            <family val="2"/>
          </rPr>
          <t>2.</t>
        </r>
        <r>
          <rPr>
            <sz val="8"/>
            <color indexed="53"/>
            <rFont val="Tahoma"/>
            <family val="2"/>
          </rPr>
          <t xml:space="preserve"> General permitting policy exists but paper records, procedural gaps, and weak oversight result in questionable total for number of connections, which may vary 5-10% of actual count.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Written account activation policy and procedures exist, but with some gaps in performance and oversight.  Computerized information management system is being brought online to replace dated paper recordkeeping system.  Reasonably accurate tracking of service connection installations &amp; abandonments; but count can be up to 5% in error from actual total.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Written new account activation and overall billing policies and procedures are adequate and reviewed periodically.  Computerized information management system is in use with annual installations &amp; abandonments totaled.  Very limited field verifications and audits.  Error in count of number of service connections is believed to be no more than 3%.</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Policies and procedures for new account activation and overall billing operations are written, well-structured and reviewed at least biannually.  Well-managed computerized information management system exists and routine, periodic field checks and internal system audits are conducted.  Counts of connections are no more than 2% in error.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Sound written policy and well managed and audited procedures ensure reliable management of service connection population.  Computerized information management system, Customer Billing System, and Geographic Information System (GIS) information agree; field validation proves truth of databases.  Count of connections recorded as being in error is less than 1% of the entire population</t>
        </r>
      </text>
    </comment>
    <comment ref="E67" authorId="0" shapeId="0">
      <text>
        <r>
          <rPr>
            <b/>
            <sz val="8"/>
            <color indexed="81"/>
            <rFont val="Tahoma"/>
            <family val="2"/>
          </rPr>
          <t>Note:</t>
        </r>
        <r>
          <rPr>
            <sz val="8"/>
            <color indexed="81"/>
            <rFont val="Tahoma"/>
            <family val="2"/>
          </rPr>
          <t xml:space="preserve"> if customer water meters are located outside of the customer building next to the curb stop or boundary separating utility/customer responsibility, then the auditor should answer "Yes" to the question on the Reporting Worksheet asking about this.  If the answer is Yes, the grading description listed under the Grading of 10(a) will be followed, with a value of zero automatically entered at a Grading of 10.  See the Service Connection Diagram worksheet for a visual presentation of this distance.
</t>
        </r>
        <r>
          <rPr>
            <sz val="8"/>
            <color indexed="10"/>
            <rFont val="Tahoma"/>
            <family val="2"/>
          </rPr>
          <t>1. Vague policy exists to define the delineation of water utility ownership and customer ownership of the service connection piping.  Curb stops are perceived as the breakpoint but these have not been well-maintained or documented.  Most are buried or obscured.  Their location varies widely from site-to-site, and estimating this distance is arbitrary due to the unknown location of many curb stops.</t>
        </r>
        <r>
          <rPr>
            <sz val="8"/>
            <color indexed="81"/>
            <rFont val="Tahoma"/>
            <family val="2"/>
          </rPr>
          <t xml:space="preserve">
</t>
        </r>
        <r>
          <rPr>
            <sz val="8"/>
            <color indexed="53"/>
            <rFont val="Tahoma"/>
            <family val="2"/>
          </rPr>
          <t>2. Policy requires that the curb stop serves as the delineation point between water utility ownership and customer ownership of the service connection piping.  The piping from the water main to the curb stop is the property of the water utility; and the piping from the curb stop to the customer building is owned by the customer.  Curb stop locations are not well documented and the average distance is based upon a limited number of locations measured in the field.</t>
        </r>
        <r>
          <rPr>
            <sz val="8"/>
            <color indexed="81"/>
            <rFont val="Tahoma"/>
            <family val="2"/>
          </rPr>
          <t xml:space="preserve">
3. Conditions between 2 and 4
</t>
        </r>
        <r>
          <rPr>
            <sz val="8"/>
            <color indexed="20"/>
            <rFont val="Tahoma"/>
            <family val="2"/>
          </rPr>
          <t xml:space="preserve">4. Good policy requires that the curb stop serves as the delineation point between water utility ownership and customer ownership of the service connection piping.  Curb stops are generally installed as needed and are reasonably documented.  Their location varies widely from site-to-site, and an estimate of this distance is hindered by the availability of paper records of limited accuracy.   </t>
        </r>
        <r>
          <rPr>
            <sz val="8"/>
            <color indexed="81"/>
            <rFont val="Tahoma"/>
            <family val="2"/>
          </rPr>
          <t xml:space="preserve">
5. Conditions between 4 and 6
</t>
        </r>
        <r>
          <rPr>
            <sz val="8"/>
            <color indexed="62"/>
            <rFont val="Tahoma"/>
            <family val="2"/>
          </rPr>
          <t xml:space="preserve">6. Clear written policy exists to define utility/customer responsibility for service connection piping.  Accurate, well-maintained paper or basic electronic recordkeeping system exists.  Periodic field checks confirm piping lengths for a sample of customer properties.   </t>
        </r>
        <r>
          <rPr>
            <sz val="8"/>
            <color indexed="81"/>
            <rFont val="Tahoma"/>
            <family val="2"/>
          </rPr>
          <t xml:space="preserve">
7. Conditions between 6 and 8
</t>
        </r>
        <r>
          <rPr>
            <sz val="8"/>
            <color indexed="12"/>
            <rFont val="Tahoma"/>
            <family val="2"/>
          </rPr>
          <t>8. Clearly worded policy standardizes the location of curb stops and meters, which are inspected upon installation.  Accurate and well maintained electronic records exist with periodic field checks to confirm locations of service lines, curb stops and customer meter pits.  An accurate number of customer properties from the customer billing system allows for reliable averaging of this length.</t>
        </r>
        <r>
          <rPr>
            <sz val="8"/>
            <color indexed="81"/>
            <rFont val="Tahoma"/>
            <family val="2"/>
          </rPr>
          <t xml:space="preserve">
9. Conditions between 8 and 10
</t>
        </r>
        <r>
          <rPr>
            <sz val="8"/>
            <color indexed="17"/>
            <rFont val="Tahoma"/>
            <family val="2"/>
          </rPr>
          <t>10. Either of two conditions can be met for a grading of 10:
a) Customer water meters exist outside of customer buildings next to the curb stop or boundary separating utility/customer responsibility for service connection piping.  If so, answer "Yes" to the question on the Reporting Working asking about this condition.  A value of zero and a Grading of 10 are automatically entered in the Reporting Worksheet .
b). Meters exist inside customer buildings, or properties are unmetered.  In either case, answer "No" to the Reporting Worksheet question on meter location, and enter a distance determined by the auditor.   For a Grading of 10 this value must be a very reliable number from a Geographic Information System (GIS) and confirmed by a statistically valid number of field checks.</t>
        </r>
      </text>
    </comment>
    <comment ref="E69" authorId="0" shapeId="0">
      <text>
        <r>
          <rPr>
            <b/>
            <sz val="8"/>
            <color indexed="10"/>
            <rFont val="Tahoma"/>
            <family val="2"/>
          </rPr>
          <t>1.</t>
        </r>
        <r>
          <rPr>
            <sz val="8"/>
            <color indexed="10"/>
            <rFont val="Tahoma"/>
            <family val="2"/>
          </rPr>
          <t xml:space="preserve"> Available records are poorly assembled and maintained paper records of supply pump characteristics and water distribution system operating conditions.  Average pressure is guesstimated based upon this information and ground elevations from crude topographical maps.  Widely varying distribution system pressures due to undulating terrain, high system head loss and weak/erratic pressure controls further compromise the validity of the average pressure calculation. </t>
        </r>
        <r>
          <rPr>
            <sz val="8"/>
            <color indexed="81"/>
            <rFont val="Tahoma"/>
            <family val="2"/>
          </rPr>
          <t xml:space="preserve"> 
</t>
        </r>
        <r>
          <rPr>
            <b/>
            <sz val="8"/>
            <color indexed="53"/>
            <rFont val="Tahoma"/>
            <family val="2"/>
          </rPr>
          <t>2.</t>
        </r>
        <r>
          <rPr>
            <sz val="8"/>
            <color indexed="53"/>
            <rFont val="Tahoma"/>
            <family val="2"/>
          </rPr>
          <t xml:space="preserve"> Limited telemetry monitoring of scattered pumping station and water storage tank sites provides some static pressure data, which is recorded in handwritten logbooks.  Pressure data is gathered at individual sites only when low pressure complaints arise.  Average pressure is determined by averaging relatively crude data, and is affected by significant variation in ground elevations, system head loss and gaps in pressure controls in the distribution system.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Effective pressure controls separate different pressure zones; moderate pressure variation across the system, occasional open boundary valves are discovered that breech pressure zones.  Basic telemetry monitoring of the distribution system logs pressure data electronically.  Pressure data gathered by gauges or dataloggers at fire hydrants or buildings when low pressure complaints arise, and during fire flow tests and system flushing.  Reliable topographical data exists.  Average pressure is calculated using this mix of data.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Reliable pressure controls separate distinct pressure zones; only very occasional open boundary valves are encountered that breech pressure zones.  Well-covered telemetry monitoring of the distribution system (not just pumping at source treatment plants or wells) logs extensive pressure data electronically.  Pressure gathered by gauges/dataloggers at fire hydrants and buildings when low pressure complaints arise, and during fire flow tests and system flushing.  Average pressure is determined by using this mix of reliable data.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Well-managed, discrete pressure zones exist with generally predictable pressure fluctuations.  A current full-scale SCADA System or similar realtime monitoring system exists to monitor the water distribution system and collect data, including real time pressure readings at representative sites across the system.  The average system pressure is determined from reliable monitoring system data.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Well-managed pressure districts/zones, SCADA System and hydraulic model exist to give very precise pressure data across the water distribution system.  Average system pressure is reliably calculated from extensive, reliable, and cross-checked data.  Calculations are reported on an annual basis as a minimum.  Procedures are reviewed by a third party knowledgeable in the M36 methodology.  </t>
        </r>
      </text>
    </comment>
    <comment ref="E76" authorId="0" shapeId="0">
      <text>
        <r>
          <rPr>
            <b/>
            <sz val="8"/>
            <color indexed="10"/>
            <rFont val="Tahoma"/>
            <family val="2"/>
          </rPr>
          <t>1.</t>
        </r>
        <r>
          <rPr>
            <sz val="8"/>
            <color indexed="10"/>
            <rFont val="Tahoma"/>
            <family val="2"/>
          </rPr>
          <t xml:space="preserve"> Incomplete paper records and lack of financial accounting documentation on many operating functions makes calculation of water system operating costs a pure guesstimate.</t>
        </r>
        <r>
          <rPr>
            <sz val="8"/>
            <color indexed="81"/>
            <rFont val="Tahoma"/>
            <family val="2"/>
          </rPr>
          <t xml:space="preserve">
</t>
        </r>
        <r>
          <rPr>
            <b/>
            <sz val="8"/>
            <color indexed="53"/>
            <rFont val="Tahoma"/>
            <family val="2"/>
          </rPr>
          <t>2.</t>
        </r>
        <r>
          <rPr>
            <sz val="8"/>
            <color indexed="53"/>
            <rFont val="Tahoma"/>
            <family val="2"/>
          </rPr>
          <t xml:space="preserve"> Reasonably maintained, but incomplete, paper or electronic accounting provides data to estimate the major portion of water system operating costs.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Electronic, industry-standard cost accounting system in place.  However, gaps in data are known to exist, periodic internal reviews are conducted but not a structured financial audit.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Reliable electronic, industry-standard cost accounting system in place, with all pertinent water system operating costs tracked.  Data audited periodically by utility personnel, but not a Certified Public Accountant (CPA).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Reliable electronic, industry-standard cost accounting system in place, with all pertinent water system operating costs tracked.  Data audited at least annually by utility personnel, and at least once every three years by third-party CPA.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Reliable electronic, industry-standard cost accounting system in place, with all pertinent water system operating costs tracked.  Data audited annually by utility personnel and annually also by third-party CPA.</t>
        </r>
      </text>
    </comment>
    <comment ref="E77" authorId="0" shapeId="0">
      <text>
        <r>
          <rPr>
            <b/>
            <sz val="8"/>
            <color indexed="81"/>
            <rFont val="Tahoma"/>
            <family val="2"/>
          </rPr>
          <t>n/a (not applicable).</t>
        </r>
        <r>
          <rPr>
            <sz val="8"/>
            <color indexed="81"/>
            <rFont val="Tahoma"/>
            <family val="2"/>
          </rPr>
          <t xml:space="preserve"> select n/a if entire customer population is unmetered, and/or only a fixed fee is charged for consumption.  
</t>
        </r>
        <r>
          <rPr>
            <b/>
            <sz val="8"/>
            <color indexed="10"/>
            <rFont val="Tahoma"/>
            <family val="2"/>
          </rPr>
          <t>1.</t>
        </r>
        <r>
          <rPr>
            <sz val="8"/>
            <color indexed="10"/>
            <rFont val="Tahoma"/>
            <family val="2"/>
          </rPr>
          <t xml:space="preserve"> Antiquated, cumbersome water rate structure is used, with periodic historic amendments that were poorly documented and implemented; resulting in classes of customers being billed inconsistent charges.  The actual composite billing rate likely differs significantly from the published water rate structure, but a lack of auditing leaves the degree of error indeterminate.</t>
        </r>
        <r>
          <rPr>
            <sz val="8"/>
            <color indexed="81"/>
            <rFont val="Tahoma"/>
            <family val="2"/>
          </rPr>
          <t xml:space="preserve">   
</t>
        </r>
        <r>
          <rPr>
            <b/>
            <sz val="8"/>
            <color indexed="53"/>
            <rFont val="Tahoma"/>
            <family val="2"/>
          </rPr>
          <t>2.</t>
        </r>
        <r>
          <rPr>
            <sz val="8"/>
            <color indexed="53"/>
            <rFont val="Tahoma"/>
            <family val="2"/>
          </rPr>
          <t xml:space="preserve"> Dated, cumbersome water rate structure, not always employed consistently in actual billing operations.  The actual composite billing rate is known to differ from the published water rate structure, and a reasonably accurate estimate of the degree of error is determined, allowing a composite billing rate to be quantified.</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Straight-forward water rate structure in use, but not updated in several years.  Billing operations reliably employ the rate structure.  The composite billing rate is derived from a single customer class such as residential customer accounts, neglecting the effect of different rates from varying customer classes.</t>
        </r>
        <r>
          <rPr>
            <sz val="8"/>
            <color indexed="81"/>
            <rFont val="Tahoma"/>
            <family val="2"/>
          </rPr>
          <t xml:space="preserve">       </t>
        </r>
        <r>
          <rPr>
            <b/>
            <sz val="8"/>
            <color indexed="81"/>
            <rFont val="Tahoma"/>
            <family val="2"/>
          </rPr>
          <t xml:space="preserve">
5.</t>
        </r>
        <r>
          <rPr>
            <sz val="8"/>
            <color indexed="81"/>
            <rFont val="Tahoma"/>
            <family val="2"/>
          </rPr>
          <t xml:space="preserve"> Conditions between 4 and 6
</t>
        </r>
        <r>
          <rPr>
            <b/>
            <sz val="8"/>
            <color indexed="62"/>
            <rFont val="Tahoma"/>
            <family val="2"/>
          </rPr>
          <t>6.</t>
        </r>
        <r>
          <rPr>
            <sz val="8"/>
            <color indexed="62"/>
            <rFont val="Tahoma"/>
            <family val="2"/>
          </rPr>
          <t xml:space="preserve"> Clearly written, up-to-date water rate structure is in force and is applied reliably in billing operations.  Composite customer rate is determined using a weighted average residential rate using volumes of water in each rate block.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Effective water rate structure is in force and is applied reliably in billing operations.  Composite customer rate is determined using a weighted average composite consumption rate, which includes residential, commercial, industrial, institutional (CII), and any other distinct customer classes within the water rate structure.</t>
        </r>
        <r>
          <rPr>
            <sz val="8"/>
            <color indexed="81"/>
            <rFont val="Tahoma"/>
            <family val="2"/>
          </rPr>
          <t xml:space="preserve">         </t>
        </r>
        <r>
          <rPr>
            <b/>
            <sz val="8"/>
            <color indexed="81"/>
            <rFont val="Tahoma"/>
            <family val="2"/>
          </rPr>
          <t xml:space="preserve">
9.</t>
        </r>
        <r>
          <rPr>
            <sz val="8"/>
            <color indexed="81"/>
            <rFont val="Tahoma"/>
            <family val="2"/>
          </rPr>
          <t xml:space="preserve"> Conditions between 8 and 10
</t>
        </r>
        <r>
          <rPr>
            <b/>
            <sz val="8"/>
            <color indexed="17"/>
            <rFont val="Tahoma"/>
            <family val="2"/>
          </rPr>
          <t>10.</t>
        </r>
        <r>
          <rPr>
            <sz val="8"/>
            <color indexed="17"/>
            <rFont val="Tahoma"/>
            <family val="2"/>
          </rPr>
          <t xml:space="preserve"> Current, effective water rate structure is in force and applied reliably in billing operations.  The rate structure and calculations of composite rate - which includes residential, commercial, industrial, institutional (CII), and other distinct customer classes - are reviewed by a third party knowledgeable in the M36 methodology at least once every five years.</t>
        </r>
      </text>
    </comment>
    <comment ref="E78" authorId="0" shapeId="0">
      <text>
        <r>
          <rPr>
            <b/>
            <sz val="8"/>
            <color indexed="81"/>
            <rFont val="Tahoma"/>
            <family val="2"/>
          </rPr>
          <t xml:space="preserve">n/a (not applicable). </t>
        </r>
        <r>
          <rPr>
            <sz val="8"/>
            <color indexed="81"/>
            <rFont val="Tahoma"/>
            <family val="2"/>
          </rPr>
          <t xml:space="preserve">Note: if the water utility purchases/imports its entire water supply, then enter the unit purchase cost of the bulk water supply in the Reporting Worksheet with a grading of 10.
</t>
        </r>
        <r>
          <rPr>
            <b/>
            <sz val="8"/>
            <color indexed="10"/>
            <rFont val="Tahoma"/>
            <family val="2"/>
          </rPr>
          <t>1.</t>
        </r>
        <r>
          <rPr>
            <sz val="8"/>
            <color indexed="10"/>
            <rFont val="Tahoma"/>
            <family val="2"/>
          </rPr>
          <t xml:space="preserve"> Incomplete paper records and lack of documentation on primary operating functions (electric power and treatment costs most importantly) makes calculation of variable production costs a pure guesstimate.</t>
        </r>
        <r>
          <rPr>
            <sz val="8"/>
            <color indexed="81"/>
            <rFont val="Tahoma"/>
            <family val="2"/>
          </rPr>
          <t xml:space="preserve">
</t>
        </r>
        <r>
          <rPr>
            <b/>
            <sz val="8"/>
            <color indexed="53"/>
            <rFont val="Tahoma"/>
            <family val="2"/>
          </rPr>
          <t>2.</t>
        </r>
        <r>
          <rPr>
            <sz val="8"/>
            <color indexed="53"/>
            <rFont val="Tahoma"/>
            <family val="2"/>
          </rPr>
          <t xml:space="preserve"> Reasonably maintained, but incomplete, paper or electronic accounting provides data to roughly estimate the basic operations costs (pumping power costs and treatment costs) and calculate a unit variable production cost.</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Electronic, industry-standard cost accounting system in place.  Electric power and treatment costs are reliably tracked and allow accurate weighted calculation of unit variable production costs based on these two inputs and water imported purchase costs (if applicable). All costs are audited internally on a periodic basis.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Reliable electronic, industry-standard cost accounting system in place, with all pertinent water system operating costs tracked.  Pertinent additional costs beyond power, treatment and water imported purchase costs (if applicable) such as liability, residuals management, wear and tear on equipment, impending expansion of supply, are included in the unit variable production cost, as applicable.  The data is audited at least annually by utility personnel.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Reliable electronic, industry-standard cost accounting system in place, with all pertinent primary and secondary variable production and water imported purchase  (if applicable) costs tracked.  The data is audited at least annually by utility personnel, and at least once every three years by a third-party knowledgeable in the M36 methodology.  </t>
        </r>
        <r>
          <rPr>
            <b/>
            <sz val="8"/>
            <color indexed="81"/>
            <rFont val="Tahoma"/>
            <family val="2"/>
          </rPr>
          <t xml:space="preserve">
9.</t>
        </r>
        <r>
          <rPr>
            <sz val="8"/>
            <color indexed="81"/>
            <rFont val="Tahoma"/>
            <family val="2"/>
          </rPr>
          <t xml:space="preserve"> Conditions between 8 and 10
</t>
        </r>
        <r>
          <rPr>
            <b/>
            <sz val="8"/>
            <color indexed="17"/>
            <rFont val="Tahoma"/>
            <family val="2"/>
          </rPr>
          <t>10.</t>
        </r>
        <r>
          <rPr>
            <sz val="8"/>
            <color indexed="17"/>
            <rFont val="Tahoma"/>
            <family val="2"/>
          </rPr>
          <t xml:space="preserve"> Either of two conditions can be met to obtain a grading of 10:
1) Third party CPA audit of all pertinent primary and secondary variable production and water imported purchase (if applicable) costs on an annual basis, or:
2) Water supply is entirely purchased as bulk imported water, and unit purchase cost serves as the variable production cost.</t>
        </r>
      </text>
    </comment>
  </commentList>
</comments>
</file>

<file path=xl/comments2.xml><?xml version="1.0" encoding="utf-8"?>
<comments xmlns="http://schemas.openxmlformats.org/spreadsheetml/2006/main">
  <authors>
    <author>Andrew Chastain-Howley</author>
  </authors>
  <commentList>
    <comment ref="B9" authorId="0" shapeId="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D11" authorId="0" shapeId="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E11" authorId="0" shapeId="0">
      <text>
        <r>
          <rPr>
            <b/>
            <sz val="8"/>
            <color indexed="81"/>
            <rFont val="Tahoma"/>
            <family val="2"/>
          </rPr>
          <t>All consumption that is billed and authorized by the utility. This may include both metered and unmetered consumption.</t>
        </r>
      </text>
    </comment>
    <comment ref="F11" authorId="0" shapeId="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G11" authorId="0" shapeId="0">
      <text>
        <r>
          <rPr>
            <b/>
            <sz val="8"/>
            <color indexed="81"/>
            <rFont val="Tahoma"/>
            <family val="2"/>
          </rPr>
          <t>Water which provides revenue to the utility.</t>
        </r>
      </text>
    </comment>
    <comment ref="F13" authorId="0" shapeId="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E15" authorId="0" shapeId="0">
      <text>
        <r>
          <rPr>
            <b/>
            <sz val="8"/>
            <color indexed="81"/>
            <rFont val="Tahoma"/>
            <family val="2"/>
          </rPr>
          <t xml:space="preserve">All consumption that is unbilled, but is still authorized by the utility. </t>
        </r>
      </text>
    </comment>
    <comment ref="F15" authorId="0" shapeId="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G15" authorId="0" shapeId="0">
      <text>
        <r>
          <rPr>
            <b/>
            <sz val="8"/>
            <color indexed="81"/>
            <rFont val="Tahoma"/>
            <family val="2"/>
          </rPr>
          <t>Water which does not provide any revenue to the utility.</t>
        </r>
      </text>
    </comment>
    <comment ref="F17" authorId="0" shapeId="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D19" authorId="0" shapeId="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E19" authorId="0" shapeId="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F19" authorId="0" shapeId="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1" authorId="0" shapeId="0">
      <text>
        <r>
          <rPr>
            <b/>
            <sz val="8"/>
            <color indexed="81"/>
            <rFont val="Tahoma"/>
            <family val="2"/>
          </rPr>
          <t>Apparent water losses caused by customer meter inaccuracies.</t>
        </r>
      </text>
    </comment>
    <comment ref="F23" authorId="0" shapeId="0">
      <text>
        <r>
          <rPr>
            <b/>
            <sz val="8"/>
            <color indexed="81"/>
            <rFont val="Tahoma"/>
            <family val="2"/>
          </rPr>
          <t>Apparent water losses caused by data handling errors in the meter reading and billing system.</t>
        </r>
      </text>
    </comment>
    <comment ref="E25" authorId="0" shapeId="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F25" authorId="0" shapeId="0">
      <text>
        <r>
          <rPr>
            <b/>
            <sz val="8"/>
            <color indexed="81"/>
            <rFont val="Tahoma"/>
            <family val="2"/>
          </rPr>
          <t>Physical water losses from a pressurized system up to the point of customer use. This is the annual volume lost through all types of leaks and bursts.</t>
        </r>
      </text>
    </comment>
    <comment ref="F27" authorId="0" shapeId="0">
      <text>
        <r>
          <rPr>
            <b/>
            <sz val="8"/>
            <color indexed="81"/>
            <rFont val="Tahoma"/>
            <family val="2"/>
          </rPr>
          <t>Physical water losses from the utility's storage tanks.</t>
        </r>
      </text>
    </comment>
    <comment ref="F29" authorId="0" shapeId="0">
      <text>
        <r>
          <rPr>
            <b/>
            <sz val="8"/>
            <color indexed="81"/>
            <rFont val="Tahoma"/>
            <family val="2"/>
          </rPr>
          <t>Physical water losses from the utility's service lines between the distribution main (corporation stop) and the point of customer use (stop tap).</t>
        </r>
      </text>
    </comment>
  </commentList>
</comments>
</file>

<file path=xl/comments3.xml><?xml version="1.0" encoding="utf-8"?>
<comments xmlns="http://schemas.openxmlformats.org/spreadsheetml/2006/main">
  <authors>
    <author>David Sayers</author>
  </authors>
  <commentList>
    <comment ref="C3" authorId="0" shapeId="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D3" authorId="0" shapeId="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E3" authorId="0" shapeId="0">
      <text>
        <r>
          <rPr>
            <b/>
            <sz val="8"/>
            <color indexed="81"/>
            <rFont val="Tahoma"/>
            <family val="2"/>
          </rPr>
          <t>New weighting is calculated for each item - "rebasing" to 100</t>
        </r>
      </text>
    </comment>
    <comment ref="F3" authorId="0" shapeId="0">
      <text>
        <r>
          <rPr>
            <b/>
            <sz val="8"/>
            <color indexed="81"/>
            <rFont val="Tahoma"/>
            <family val="2"/>
          </rPr>
          <t>Creates "multiplier" for what each point (1-10) is worth</t>
        </r>
      </text>
    </comment>
    <comment ref="G3" authorId="0" shapeId="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H3" authorId="0" shapeId="0">
      <text>
        <r>
          <rPr>
            <b/>
            <sz val="8"/>
            <color indexed="81"/>
            <rFont val="Tahoma"/>
            <family val="2"/>
          </rPr>
          <t>Calcualates where most points were lost to identify top 3 areas for focus</t>
        </r>
      </text>
    </comment>
    <comment ref="I3" authorId="0" shapeId="0">
      <text>
        <r>
          <rPr>
            <b/>
            <sz val="8"/>
            <color indexed="81"/>
            <rFont val="Tahoma"/>
            <family val="2"/>
          </rPr>
          <t>Unique ranking formula</t>
        </r>
        <r>
          <rPr>
            <sz val="8"/>
            <color indexed="81"/>
            <rFont val="Tahoma"/>
            <family val="2"/>
          </rPr>
          <t>; avoids limitation with Excel RANK() function of duplicate ranks</t>
        </r>
      </text>
    </comment>
    <comment ref="K3" authorId="0" shapeId="0">
      <text>
        <r>
          <rPr>
            <b/>
            <sz val="8"/>
            <color indexed="81"/>
            <rFont val="Tahoma"/>
            <family val="2"/>
          </rPr>
          <t>Determined based on if a weight has been calcaulted, as weighting is not calculated if value is zero</t>
        </r>
      </text>
    </comment>
    <comment ref="M3" authorId="0" shapeId="0">
      <text>
        <r>
          <rPr>
            <b/>
            <sz val="8"/>
            <color indexed="81"/>
            <rFont val="Tahoma"/>
            <family val="2"/>
          </rPr>
          <t xml:space="preserve">Identifies if grade is required and has been missed </t>
        </r>
      </text>
    </comment>
  </commentList>
</comments>
</file>

<file path=xl/comments4.xml><?xml version="1.0" encoding="utf-8"?>
<comments xmlns="http://schemas.openxmlformats.org/spreadsheetml/2006/main">
  <authors>
    <author>DavidSayers</author>
    <author>David Sayers</author>
  </authors>
  <commentList>
    <comment ref="E14" authorId="0" shapeId="0">
      <text>
        <r>
          <rPr>
            <b/>
            <sz val="8"/>
            <color indexed="81"/>
            <rFont val="Tahoma"/>
            <family val="2"/>
          </rPr>
          <t>n/a (not applicable).</t>
        </r>
        <r>
          <rPr>
            <sz val="8"/>
            <color indexed="81"/>
            <rFont val="Tahoma"/>
            <family val="2"/>
          </rPr>
          <t xml:space="preserve"> Select this grading only if the water utility purchases/imports all of its water resources (i.e. has no sources of its own)
</t>
        </r>
        <r>
          <rPr>
            <b/>
            <sz val="8"/>
            <color indexed="10"/>
            <rFont val="Tahoma"/>
            <family val="2"/>
          </rPr>
          <t>1.</t>
        </r>
        <r>
          <rPr>
            <sz val="8"/>
            <color indexed="10"/>
            <rFont val="Tahoma"/>
            <family val="2"/>
          </rPr>
          <t xml:space="preserve"> Less than 25% of treated water production sources are metered, remaining sources are estimated.  No regular meter accuracy testing.</t>
        </r>
        <r>
          <rPr>
            <sz val="8"/>
            <color indexed="81"/>
            <rFont val="Tahoma"/>
            <family val="2"/>
          </rPr>
          <t xml:space="preserve">
</t>
        </r>
        <r>
          <rPr>
            <b/>
            <sz val="8"/>
            <color indexed="53"/>
            <rFont val="Tahoma"/>
            <family val="2"/>
          </rPr>
          <t>2.</t>
        </r>
        <r>
          <rPr>
            <sz val="8"/>
            <color indexed="53"/>
            <rFont val="Tahoma"/>
            <family val="2"/>
          </rPr>
          <t xml:space="preserve"> 25% - 50% of treated water production sources are metered; other sources estimated.  No regular meter accuracy testing. </t>
        </r>
        <r>
          <rPr>
            <sz val="8"/>
            <color indexed="81"/>
            <rFont val="Tahoma"/>
            <family val="2"/>
          </rPr>
          <t xml:space="preserve">
</t>
        </r>
        <r>
          <rPr>
            <b/>
            <sz val="8"/>
            <color indexed="81"/>
            <rFont val="Tahoma"/>
            <family val="2"/>
          </rPr>
          <t xml:space="preserve">3. </t>
        </r>
        <r>
          <rPr>
            <sz val="8"/>
            <color indexed="81"/>
            <rFont val="Tahoma"/>
            <family val="2"/>
          </rPr>
          <t xml:space="preserve">Conditions between 2 and 4
</t>
        </r>
        <r>
          <rPr>
            <b/>
            <sz val="8"/>
            <color indexed="20"/>
            <rFont val="Tahoma"/>
            <family val="2"/>
          </rPr>
          <t>4.</t>
        </r>
        <r>
          <rPr>
            <sz val="8"/>
            <color indexed="20"/>
            <rFont val="Tahoma"/>
            <family val="2"/>
          </rPr>
          <t xml:space="preserve"> 50% - 75% of treated water production sources are metered, other sources estimated.  Occasional meter accuracy testing</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75% of treated water production sources are metered, or at least 90% of the source flow is derived from metered sources.  Meter accuracy testing and/or electronic calibration conducted annually.  Less than 25% of tested meters are found outside of +/- 6% accuracy.  </t>
        </r>
        <r>
          <rPr>
            <sz val="8"/>
            <color indexed="81"/>
            <rFont val="Tahoma"/>
            <family val="2"/>
          </rPr>
          <t xml:space="preserve">
</t>
        </r>
        <r>
          <rPr>
            <b/>
            <sz val="8"/>
            <color indexed="81"/>
            <rFont val="Tahoma"/>
            <family val="2"/>
          </rPr>
          <t xml:space="preserve">7. </t>
        </r>
        <r>
          <rPr>
            <sz val="8"/>
            <color indexed="81"/>
            <rFont val="Tahoma"/>
            <family val="2"/>
          </rPr>
          <t xml:space="preserve">Conditions between 6 and 8
</t>
        </r>
        <r>
          <rPr>
            <b/>
            <sz val="8"/>
            <color indexed="12"/>
            <rFont val="Tahoma"/>
            <family val="2"/>
          </rPr>
          <t>8.</t>
        </r>
        <r>
          <rPr>
            <sz val="8"/>
            <color indexed="12"/>
            <rFont val="Tahoma"/>
            <family val="2"/>
          </rPr>
          <t xml:space="preserve"> 100% of treated water production sources are metered, meter accuracy testing and electronic calibration conducted annually, less than 10% of meters are found outside of +/- 6% accuracy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100% of treated water production sources are metered, meter accuracy testing and electronic calibration conducted semi-annually, with less than 10% found outside of +/- 3% accuracy.</t>
        </r>
      </text>
    </comment>
    <comment ref="E15" authorId="0" shapeId="0">
      <text>
        <r>
          <rPr>
            <b/>
            <sz val="8"/>
            <color indexed="81"/>
            <rFont val="Tahoma"/>
            <family val="2"/>
          </rPr>
          <t>n/a (not applicable).</t>
        </r>
        <r>
          <rPr>
            <sz val="8"/>
            <color indexed="81"/>
            <rFont val="Tahoma"/>
            <family val="2"/>
          </rPr>
          <t xml:space="preserve"> Select n/a only if the water utility fails to have meters on its sources of supply, either its own source, and/or imported (purchased) water sources 
</t>
        </r>
        <r>
          <rPr>
            <b/>
            <sz val="8"/>
            <color indexed="10"/>
            <rFont val="Tahoma"/>
            <family val="2"/>
          </rPr>
          <t>1.</t>
        </r>
        <r>
          <rPr>
            <sz val="8"/>
            <color indexed="10"/>
            <rFont val="Tahoma"/>
            <family val="2"/>
          </rPr>
          <t xml:space="preserve"> Inventory information on meters and paper records of measured volumes in crude condition; data error cannot be determined </t>
        </r>
        <r>
          <rPr>
            <sz val="8"/>
            <color indexed="81"/>
            <rFont val="Tahoma"/>
            <family val="2"/>
          </rPr>
          <t xml:space="preserve">
</t>
        </r>
        <r>
          <rPr>
            <b/>
            <sz val="8"/>
            <color indexed="53"/>
            <rFont val="Tahoma"/>
            <family val="2"/>
          </rPr>
          <t>2.</t>
        </r>
        <r>
          <rPr>
            <sz val="8"/>
            <color indexed="53"/>
            <rFont val="Tahoma"/>
            <family val="2"/>
          </rPr>
          <t xml:space="preserve"> No automatic datalogging of production volumes; daily readings are scribed on paper records.  Tank/storage elevation changes are not employed in calculating "Volume from own sources" component.</t>
        </r>
        <r>
          <rPr>
            <sz val="8"/>
            <color indexed="81"/>
            <rFont val="Tahoma"/>
            <family val="2"/>
          </rPr>
          <t xml:space="preserve">  </t>
        </r>
        <r>
          <rPr>
            <sz val="8"/>
            <color indexed="53"/>
            <rFont val="Tahoma"/>
            <family val="2"/>
          </rPr>
          <t>Data is adjusted only when grossly evident data error occurs.</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Production meter data is logged automatically in electronic format and reviewed at least on a monthly basis.  "Volume from own sources" tabulations include estimate of daily changes in tanks/storage facilities.  Meter data is adjusted when gross data errors occur, or occasional meter testing deems this necessary.</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Hourly production meter data logged automatically &amp; reviewed on at least a weekly basis.  Data adjusted to correct gross error from equipment malfunction and error confirmed by meter accuracy testing.  Tank/storage facility elevation changes are automatically used in calculating a balanced "Volume from own sources" component.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Continuous production meter data logged automatically &amp; reviewed daily.  Data adjusted to correct gross error from equipment malfunction &amp; results of meter accuracy testing.  Tank/storage facility elevation changes are automatically used in "Volume from own sources" tabulations.</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Computerized system (SCADA or similar) automatically balances flows from all sources and storages; results reviewed daily.  Mass balance technique compares production meter data to raw (untreated) water and treatment volumes to detect anomalies.  Regular calibrations between SCADA and sources meters ensures minimal data transfer error.  </t>
        </r>
        <r>
          <rPr>
            <sz val="8"/>
            <color indexed="81"/>
            <rFont val="Tahoma"/>
            <family val="2"/>
          </rPr>
          <t xml:space="preserve">
</t>
        </r>
      </text>
    </comment>
    <comment ref="E16" authorId="0" shapeId="0">
      <text>
        <r>
          <rPr>
            <b/>
            <sz val="8"/>
            <color indexed="81"/>
            <rFont val="Tahoma"/>
            <family val="2"/>
          </rPr>
          <t>n/a (not applicable).</t>
        </r>
        <r>
          <rPr>
            <sz val="8"/>
            <color indexed="81"/>
            <rFont val="Tahoma"/>
            <family val="2"/>
          </rPr>
          <t xml:space="preserve"> Select n/a if the water utility's supply is exclusively from its own water resources (no bulk purchased/ imported water)
</t>
        </r>
        <r>
          <rPr>
            <b/>
            <sz val="8"/>
            <color indexed="10"/>
            <rFont val="Tahoma"/>
            <family val="2"/>
          </rPr>
          <t xml:space="preserve">1. </t>
        </r>
        <r>
          <rPr>
            <sz val="8"/>
            <color indexed="10"/>
            <rFont val="Tahoma"/>
            <family val="2"/>
          </rPr>
          <t>Less than 25% of imported water sources are metered, remaining sources are estimated.  No regular meter accuracy testing.</t>
        </r>
        <r>
          <rPr>
            <sz val="8"/>
            <color indexed="81"/>
            <rFont val="Tahoma"/>
            <family val="2"/>
          </rPr>
          <t xml:space="preserve">
</t>
        </r>
        <r>
          <rPr>
            <b/>
            <sz val="8"/>
            <color indexed="53"/>
            <rFont val="Tahoma"/>
            <family val="2"/>
          </rPr>
          <t>2.</t>
        </r>
        <r>
          <rPr>
            <sz val="8"/>
            <color indexed="53"/>
            <rFont val="Tahoma"/>
            <family val="2"/>
          </rPr>
          <t xml:space="preserve"> 25% - 50% of imported water sources are metered; other sources estimated.  No regular meter accuracy testing.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 xml:space="preserve">4. </t>
        </r>
        <r>
          <rPr>
            <sz val="8"/>
            <color indexed="20"/>
            <rFont val="Tahoma"/>
            <family val="2"/>
          </rPr>
          <t>50% - 75% of imported water sources are metered, other sources estimated.  Occasional meter accuracy testing</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75% of imported water sources are metered, meter accuracy testing and/or electronic calibration conducted annually.  Less than 25% of tested meters are found outside of +/- 6% accuracy.</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100% of imported water sources are metered, meter accuracy testing and/or electronic calibration conducted annually, less than 10% of meters are found outside of +/- 6% accuracy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100% of imported water sources are metered, meter accuracy testing and/or electronic calibration conducted semi-annually, with less than 10% found outside of +/- 3% accuracy.     </t>
        </r>
        <r>
          <rPr>
            <sz val="8"/>
            <color indexed="81"/>
            <rFont val="Tahoma"/>
            <family val="2"/>
          </rPr>
          <t xml:space="preserve">
</t>
        </r>
      </text>
    </comment>
    <comment ref="E17" authorId="0" shapeId="0">
      <text>
        <r>
          <rPr>
            <b/>
            <sz val="8"/>
            <color indexed="81"/>
            <rFont val="Tahoma"/>
            <family val="2"/>
          </rPr>
          <t xml:space="preserve">n/a (not applicable). </t>
        </r>
        <r>
          <rPr>
            <sz val="8"/>
            <color indexed="81"/>
            <rFont val="Tahoma"/>
            <family val="2"/>
          </rPr>
          <t xml:space="preserve">Select n/a if the water utility sells no bulk water to neighboring water utilities (no exported water sales)
</t>
        </r>
        <r>
          <rPr>
            <b/>
            <sz val="8"/>
            <color indexed="10"/>
            <rFont val="Tahoma"/>
            <family val="2"/>
          </rPr>
          <t>1.</t>
        </r>
        <r>
          <rPr>
            <sz val="8"/>
            <color indexed="10"/>
            <rFont val="Tahoma"/>
            <family val="2"/>
          </rPr>
          <t xml:space="preserve"> Less than 25% of exported water sources are metered, remaining sources are estimated.  No regular meter accuracy testing.</t>
        </r>
        <r>
          <rPr>
            <sz val="8"/>
            <color indexed="81"/>
            <rFont val="Tahoma"/>
            <family val="2"/>
          </rPr>
          <t xml:space="preserve">
</t>
        </r>
        <r>
          <rPr>
            <b/>
            <sz val="8"/>
            <color indexed="53"/>
            <rFont val="Tahoma"/>
            <family val="2"/>
          </rPr>
          <t xml:space="preserve">2. </t>
        </r>
        <r>
          <rPr>
            <sz val="8"/>
            <color indexed="53"/>
            <rFont val="Tahoma"/>
            <family val="2"/>
          </rPr>
          <t xml:space="preserve">25% - 50% of exported water sources are metered; other sources estimated.  No regular meter accuracy testing.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50% - 75% of exported water sources are metered, other sources estimated.  Occasional meter accuracy testing</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75% of exported water sources are metered, meter accuracy testing and/or electronic calibration conducted annually.  Less than 25% of tested meters are found outside of +/- 6% accuracy.</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 xml:space="preserve">8. </t>
        </r>
        <r>
          <rPr>
            <sz val="8"/>
            <color indexed="12"/>
            <rFont val="Tahoma"/>
            <family val="2"/>
          </rPr>
          <t>100% of exported water sources are metered, meter accuracy testing and/or electronic calibration conducted annually, less than 10% of meters are found outside of +/- 6% accuracy</t>
        </r>
        <r>
          <rPr>
            <sz val="8"/>
            <color indexed="81"/>
            <rFont val="Tahoma"/>
            <family val="2"/>
          </rPr>
          <t xml:space="preserve">
</t>
        </r>
        <r>
          <rPr>
            <b/>
            <sz val="8"/>
            <color indexed="81"/>
            <rFont val="Tahoma"/>
            <family val="2"/>
          </rPr>
          <t xml:space="preserve">9. </t>
        </r>
        <r>
          <rPr>
            <sz val="8"/>
            <color indexed="81"/>
            <rFont val="Tahoma"/>
            <family val="2"/>
          </rPr>
          <t xml:space="preserve">Conditions between 8 and 10
</t>
        </r>
        <r>
          <rPr>
            <b/>
            <sz val="8"/>
            <color indexed="17"/>
            <rFont val="Tahoma"/>
            <family val="2"/>
          </rPr>
          <t xml:space="preserve">10. </t>
        </r>
        <r>
          <rPr>
            <sz val="8"/>
            <color indexed="17"/>
            <rFont val="Tahoma"/>
            <family val="2"/>
          </rPr>
          <t xml:space="preserve">100% of exported water sources are metered, meter accuracy testing and/or electronic calibration conducted semi-annually, with less than 10% found outside of +/- 3% accuracy.     </t>
        </r>
        <r>
          <rPr>
            <sz val="8"/>
            <color indexed="81"/>
            <rFont val="Tahoma"/>
            <family val="2"/>
          </rPr>
          <t xml:space="preserve">
</t>
        </r>
      </text>
    </comment>
    <comment ref="E23" authorId="0" shapeId="0">
      <text>
        <r>
          <rPr>
            <b/>
            <sz val="8"/>
            <color indexed="81"/>
            <rFont val="Tahoma"/>
            <family val="2"/>
          </rPr>
          <t>n/a (not applicable).</t>
        </r>
        <r>
          <rPr>
            <sz val="8"/>
            <color indexed="81"/>
            <rFont val="Tahoma"/>
            <family val="2"/>
          </rPr>
          <t xml:space="preserve"> Select n/a only if the entire customer population is not metered and is billed for water service on a flat or fixed rate basis. In such a case the volume entered must be zero.</t>
        </r>
        <r>
          <rPr>
            <sz val="8"/>
            <color indexed="81"/>
            <rFont val="Tahoma"/>
            <family val="2"/>
          </rPr>
          <t xml:space="preserve">
</t>
        </r>
        <r>
          <rPr>
            <b/>
            <sz val="8"/>
            <color indexed="10"/>
            <rFont val="Tahoma"/>
            <family val="2"/>
          </rPr>
          <t xml:space="preserve">1. </t>
        </r>
        <r>
          <rPr>
            <sz val="8"/>
            <color indexed="10"/>
            <rFont val="Tahoma"/>
            <family val="2"/>
          </rPr>
          <t>Less than 50% of customers with volume-based billings from meter readings; flat or fixed rate billed for the majority of the customer population</t>
        </r>
        <r>
          <rPr>
            <sz val="8"/>
            <color indexed="81"/>
            <rFont val="Tahoma"/>
            <family val="2"/>
          </rPr>
          <t xml:space="preserve">
</t>
        </r>
        <r>
          <rPr>
            <b/>
            <sz val="8"/>
            <color indexed="53"/>
            <rFont val="Tahoma"/>
            <family val="2"/>
          </rPr>
          <t>2.</t>
        </r>
        <r>
          <rPr>
            <sz val="8"/>
            <color indexed="53"/>
            <rFont val="Tahoma"/>
            <family val="2"/>
          </rPr>
          <t xml:space="preserve"> At least 50% of customers with volume-based billing from meter reads; flat rate billed for others.  Manual meter reading, under 50% read success rate, remainder estimated.  Limited meter records, no regular meter testing or replacement.  Billing data maintained on paper records, with no auditing.</t>
        </r>
        <r>
          <rPr>
            <sz val="8"/>
            <color indexed="81"/>
            <rFont val="Tahoma"/>
            <family val="2"/>
          </rPr>
          <t xml:space="preserve">
</t>
        </r>
        <r>
          <rPr>
            <b/>
            <sz val="8"/>
            <color indexed="81"/>
            <rFont val="Tahoma"/>
            <family val="2"/>
          </rPr>
          <t>3.</t>
        </r>
        <r>
          <rPr>
            <sz val="8"/>
            <color indexed="81"/>
            <rFont val="Tahoma"/>
            <family val="2"/>
          </rPr>
          <t xml:space="preserve"> Conditions between 2 and 4</t>
        </r>
        <r>
          <rPr>
            <sz val="8"/>
            <color indexed="81"/>
            <rFont val="Tahoma"/>
            <family val="2"/>
          </rPr>
          <t xml:space="preserve">
</t>
        </r>
        <r>
          <rPr>
            <b/>
            <sz val="8"/>
            <color indexed="20"/>
            <rFont val="Tahoma"/>
            <family val="2"/>
          </rPr>
          <t>4.</t>
        </r>
        <r>
          <rPr>
            <sz val="8"/>
            <color indexed="20"/>
            <rFont val="Tahoma"/>
            <family val="2"/>
          </rPr>
          <t xml:space="preserve"> At least 75% of customers with volume-based billing from meter reads; flat or fixed rate billed for remainder.  Manual meter reading used, at least 50% meter read success rate, failed reads are estimated.  Purchase records verify age of customer meters; only very limited meter accuracy testing is conducted.  Customer meters replaced only upon complete failure.  Computerized billing records, but only periodic internal auditing conducted.</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90% of customers with volume-based billing from meter reads; remaining accounts are estimated.  Manual customer meter reading gives at least 80% customer meter reading success rate, failed reads are estimated.  Good customer meter records, limited meter accuracy testing, regular replacement of oldest meters.  Computerized billing records with routine auditing of global statistics.</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At least 97% of customers with volume-based billing from meter reads.  At least 90% customer meter read success rate; or minimum 80% read success rate with planning and budgeting for trials of Automatic Metering Reading (AMR) in one or more pilot areas.  Good customer meter records. Regular meter accuracy testing guides replacement of statistically significant number of meters each year.  Routine auditing of computerized billing records for global and detailed statistics; verified periodically by third party.
</t>
        </r>
        <r>
          <rPr>
            <b/>
            <sz val="8"/>
            <color indexed="81"/>
            <rFont val="Tahoma"/>
            <family val="2"/>
          </rPr>
          <t>9.</t>
        </r>
        <r>
          <rPr>
            <sz val="8"/>
            <color indexed="81"/>
            <rFont val="Tahoma"/>
            <family val="2"/>
          </rPr>
          <t xml:space="preserve"> Conditions between 8 and 10</t>
        </r>
        <r>
          <rPr>
            <sz val="8"/>
            <color indexed="81"/>
            <rFont val="Tahoma"/>
            <family val="2"/>
          </rPr>
          <t xml:space="preserve">
</t>
        </r>
        <r>
          <rPr>
            <b/>
            <sz val="8"/>
            <color indexed="17"/>
            <rFont val="Tahoma"/>
            <family val="2"/>
          </rPr>
          <t>10.</t>
        </r>
        <r>
          <rPr>
            <sz val="8"/>
            <color indexed="17"/>
            <rFont val="Tahoma"/>
            <family val="2"/>
          </rPr>
          <t xml:space="preserve"> At least 99% of customers with volume-based billing from meter reads.  At least 95% customer meter reading success rate; or minimum 80% meter reading success rate, with Automatic Meter Reading (AMR) trials underway.  Statistically significant customer meter testing and replacement program in place.  Computerized billing with routine, detailed auditing, including field investigation of representative sample of accounts.  Annual audit verification by third party.</t>
        </r>
        <r>
          <rPr>
            <sz val="8"/>
            <color indexed="81"/>
            <rFont val="Tahoma"/>
            <family val="2"/>
          </rPr>
          <t xml:space="preserve">
</t>
        </r>
      </text>
    </comment>
    <comment ref="E24" authorId="0" shapeId="0">
      <text>
        <r>
          <rPr>
            <b/>
            <sz val="8"/>
            <color indexed="81"/>
            <rFont val="Tahoma"/>
            <family val="2"/>
          </rPr>
          <t>n/a (not applicable).</t>
        </r>
        <r>
          <rPr>
            <sz val="8"/>
            <color indexed="81"/>
            <rFont val="Tahoma"/>
            <family val="2"/>
          </rPr>
          <t xml:space="preserve"> Select n/a if it is the policy of the water utility to meter all customer connections and it has been confirmed by detailed auditing that all customers do indeed have a water meter; i.e. no unmetered accounts exist. In such a case the volume entered must be zero.
</t>
        </r>
        <r>
          <rPr>
            <b/>
            <sz val="8"/>
            <color indexed="10"/>
            <rFont val="Tahoma"/>
            <family val="2"/>
          </rPr>
          <t>1.</t>
        </r>
        <r>
          <rPr>
            <sz val="8"/>
            <color indexed="10"/>
            <rFont val="Tahoma"/>
            <family val="2"/>
          </rPr>
          <t xml:space="preserve"> Water utility policy does not require customer metering; flat or fixed fee billed.  No data collected on customer consumption.  Only estimates available are derived from data estimation methods using average fixture count multiplied by number of connections, or similar approach.</t>
        </r>
        <r>
          <rPr>
            <sz val="8"/>
            <color indexed="81"/>
            <rFont val="Tahoma"/>
            <family val="2"/>
          </rPr>
          <t xml:space="preserve">
</t>
        </r>
        <r>
          <rPr>
            <b/>
            <sz val="8"/>
            <color indexed="53"/>
            <rFont val="Tahoma"/>
            <family val="2"/>
          </rPr>
          <t>2.</t>
        </r>
        <r>
          <rPr>
            <sz val="8"/>
            <color indexed="53"/>
            <rFont val="Tahoma"/>
            <family val="2"/>
          </rPr>
          <t xml:space="preserve"> Water utility policy does not require customer metering; flat or fixed fee billed.  Some metered accounts exist in parts of the system (pilot areas or District Metered Areas) with consumption recorded on portable dataloggers.  Data from these sample meters are used to infer consumption for the total customer population.  Site specific estimation methods are used for unusual buildings/water uses.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Water utility policy does require metering and volume based billing but lacks written procedures and employs casual oversight, resulting in up to 20% of billed accounts believed to be unmetered.  A rough estimate of  the annual consumption for all unmetered accounts is included in the annual water audit, with no inspection of individual unmetered accounts.</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Water utility policy does require metering and volume based billing but exemption exist for a portion of accounts such as municipal buildings.  As many as 15% of billed accounts are unmetered due to this exemption or meter installation difficulties.  Only a group estimate of annual consumption for all unmetered accounts is included in the annual water audit, with no inspection of individual unmetered accounts.</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Water utility policy requires metering and volume based billing for all customer accounts.  However, less than 5% of billed accounts remain unmetered because because installation is hindered by unusual circumstances.  The goal is to minimize the number of unmetered accounts.  Reliable estimates of consumption are obtained for unmetered accounts via site specific estimation methods.</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Water utility policy requires metering and volume based billing for all customer accounts.  Less than 2% of billed accounts are unmetered and exist because meter installation is hindered by unusual circumstances.  The goal exists to minimize the number of unmetered accounts to the extent that is economical.  Reliable estimates of consumption are obtained at these accounts via site specific estimation methods.</t>
        </r>
        <r>
          <rPr>
            <sz val="8"/>
            <color indexed="81"/>
            <rFont val="Tahoma"/>
            <family val="2"/>
          </rPr>
          <t xml:space="preserve">
</t>
        </r>
      </text>
    </comment>
    <comment ref="E25" authorId="0" shapeId="0">
      <text>
        <r>
          <rPr>
            <b/>
            <sz val="8"/>
            <color indexed="81"/>
            <rFont val="Tahoma"/>
            <family val="2"/>
          </rPr>
          <t>n/a (not applicable).</t>
        </r>
        <r>
          <rPr>
            <sz val="8"/>
            <color indexed="81"/>
            <rFont val="Tahoma"/>
            <family val="2"/>
          </rPr>
          <t xml:space="preserve"> select n/a if all billing-exempt consumption is unmetered.  
</t>
        </r>
        <r>
          <rPr>
            <b/>
            <sz val="8"/>
            <color indexed="10"/>
            <rFont val="Tahoma"/>
            <family val="2"/>
          </rPr>
          <t>1.</t>
        </r>
        <r>
          <rPr>
            <sz val="8"/>
            <color indexed="10"/>
            <rFont val="Tahoma"/>
            <family val="2"/>
          </rPr>
          <t xml:space="preserve"> Billing practices exempt certain accounts, such as municipal buildings, but written policies do not exist; and a reliable count of unbilled metered accounts is unavailable.  Meter upkeep and meter reading on these accounts is rare and not considered a priority.  Due to poor recordkeeping and lack of auditing, water consumption for all such accounts is purely guesstimated. </t>
        </r>
        <r>
          <rPr>
            <sz val="8"/>
            <color indexed="81"/>
            <rFont val="Tahoma"/>
            <family val="2"/>
          </rPr>
          <t xml:space="preserve">      
</t>
        </r>
        <r>
          <rPr>
            <b/>
            <sz val="8"/>
            <color indexed="53"/>
            <rFont val="Tahoma"/>
            <family val="2"/>
          </rPr>
          <t>2.</t>
        </r>
        <r>
          <rPr>
            <sz val="8"/>
            <color indexed="53"/>
            <rFont val="Tahoma"/>
            <family val="2"/>
          </rPr>
          <t xml:space="preserve"> Billing practices exempt certain accounts, such as municipal buildings, but only scattered, dated written directives exist to justify this practice.  A reliable count of unbilled metered accounts is unavailable.  Sporadic meter replacement and meter reading occurs on an as-needed basis.  The total annual water consumption for all unbilled, metered accounts is estimated based upon approximating the number of accounts and assigning consumption from actively billed accounts of same meter size. </t>
        </r>
        <r>
          <rPr>
            <sz val="8"/>
            <color indexed="81"/>
            <rFont val="Tahoma"/>
            <family val="2"/>
          </rPr>
          <t xml:space="preserve">       
</t>
        </r>
        <r>
          <rPr>
            <b/>
            <sz val="8"/>
            <color indexed="81"/>
            <rFont val="Tahoma"/>
            <family val="2"/>
          </rPr>
          <t xml:space="preserve">3. </t>
        </r>
        <r>
          <rPr>
            <sz val="8"/>
            <color indexed="81"/>
            <rFont val="Tahoma"/>
            <family val="2"/>
          </rPr>
          <t xml:space="preserve">Conditions between 2 and 4
</t>
        </r>
        <r>
          <rPr>
            <b/>
            <sz val="8"/>
            <color indexed="20"/>
            <rFont val="Tahoma"/>
            <family val="2"/>
          </rPr>
          <t>4.</t>
        </r>
        <r>
          <rPr>
            <sz val="8"/>
            <color indexed="20"/>
            <rFont val="Tahoma"/>
            <family val="2"/>
          </rPr>
          <t xml:space="preserve"> Dated written procedures permit billing exemption for specific accounts, such as municipal properties, but are unclear regarding certain other types of accounts.  Meter reading is given low priority and is sporadic.   Consumption is quantified from meter readings where available.  The total number of unbilled, unmetered accounts must be estimated along with consumption volumes.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Written policies regarding billing exemptions exist but adherence in practice is questionable.  Metering and meter reading for municipal buildings is reliable but sporadic for other unbilled metered accounts.  Periodic auditing of such accounts is conducted.  Water consumption is quantified directly from meter readings where available, but the majority of the consumption is estimated.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Written policy identifies the types of accounts granted a billing exemption.  Customer meter management and meter reading are considered secondary priorities, but meter reading is conducted at least annually to obtain consumption volumes for the annual water audit.  High level auditing of billing records ensures that a reliable census of such accounts exists.</t>
        </r>
        <r>
          <rPr>
            <sz val="8"/>
            <color indexed="81"/>
            <rFont val="Tahoma"/>
            <family val="2"/>
          </rPr>
          <t xml:space="preserve">          
</t>
        </r>
        <r>
          <rPr>
            <b/>
            <sz val="8"/>
            <color indexed="81"/>
            <rFont val="Tahoma"/>
            <family val="2"/>
          </rPr>
          <t xml:space="preserve">9. </t>
        </r>
        <r>
          <rPr>
            <sz val="8"/>
            <color indexed="81"/>
            <rFont val="Tahoma"/>
            <family val="2"/>
          </rPr>
          <t xml:space="preserve">Conditions between 8 and 10
</t>
        </r>
        <r>
          <rPr>
            <b/>
            <sz val="8"/>
            <color indexed="17"/>
            <rFont val="Tahoma"/>
            <family val="2"/>
          </rPr>
          <t>10.</t>
        </r>
        <r>
          <rPr>
            <sz val="8"/>
            <color indexed="17"/>
            <rFont val="Tahoma"/>
            <family val="2"/>
          </rPr>
          <t xml:space="preserve"> Clearly written policy identifies the types of accounts given a billing exemption, with emphasis on keeping such accounts to a minimum.  Customer meter management and meter reading for these accounts is given proper priority and is reliably conducted.  Regular auditing confirms this.  Total water consumption for these accounts is taken from reliable readings from accurate meters. </t>
        </r>
        <r>
          <rPr>
            <sz val="8"/>
            <color indexed="81"/>
            <rFont val="Tahoma"/>
            <family val="2"/>
          </rPr>
          <t xml:space="preserve">        
</t>
        </r>
      </text>
    </comment>
    <comment ref="E26" authorId="0" shapeId="0">
      <text>
        <r>
          <rPr>
            <b/>
            <sz val="8"/>
            <color indexed="10"/>
            <rFont val="Tahoma"/>
            <family val="2"/>
          </rPr>
          <t>1.</t>
        </r>
        <r>
          <rPr>
            <sz val="8"/>
            <color indexed="10"/>
            <rFont val="Tahoma"/>
            <family val="2"/>
          </rPr>
          <t xml:space="preserve"> Extent of unbilled, unmetered consumption is unknown due to unclear policies and poor recordkeeping.  Total consumption is quantified based upon a purely subjective estimate.  </t>
        </r>
        <r>
          <rPr>
            <sz val="8"/>
            <color indexed="81"/>
            <rFont val="Tahoma"/>
            <family val="2"/>
          </rPr>
          <t xml:space="preserve">
</t>
        </r>
        <r>
          <rPr>
            <b/>
            <sz val="8"/>
            <color indexed="53"/>
            <rFont val="Tahoma"/>
            <family val="2"/>
          </rPr>
          <t>2.</t>
        </r>
        <r>
          <rPr>
            <sz val="8"/>
            <color indexed="53"/>
            <rFont val="Tahoma"/>
            <family val="2"/>
          </rPr>
          <t xml:space="preserve"> Clear extent of unbilled, unmetered consumption is unknown, but a number of events are randomly documented each year, confirming existence of such consumption, but without sufficient documentation to quantify an accurate estimate of the annual volume consumed.</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Extent of unbilled, unmetered consumption is partially known, and procedures exist to document certain events such as miscellaneous fire hydrant uses.  Formulae is used to quantify the consumption from such events (time running x typical flowrate x number of  events).  </t>
        </r>
        <r>
          <rPr>
            <sz val="8"/>
            <color indexed="81"/>
            <rFont val="Tahoma"/>
            <family val="2"/>
          </rPr>
          <t xml:space="preserve">
</t>
        </r>
        <r>
          <rPr>
            <b/>
            <sz val="8"/>
            <color indexed="81"/>
            <rFont val="Tahoma"/>
            <family val="2"/>
          </rPr>
          <t>5.</t>
        </r>
        <r>
          <rPr>
            <sz val="8"/>
            <color indexed="81"/>
            <rFont val="Tahoma"/>
            <family val="2"/>
          </rPr>
          <t xml:space="preserve"> Default value of 1.25% of system input volume is employed
</t>
        </r>
        <r>
          <rPr>
            <b/>
            <sz val="8"/>
            <color indexed="62"/>
            <rFont val="Tahoma"/>
            <family val="2"/>
          </rPr>
          <t xml:space="preserve">6. </t>
        </r>
        <r>
          <rPr>
            <sz val="8"/>
            <color indexed="62"/>
            <rFont val="Tahoma"/>
            <family val="2"/>
          </rPr>
          <t xml:space="preserve">Coherent policies exist for some forms of unbilled, unmetered consumption but others await closer evaluation. Reasonable recordkeeping for the managed uses exists and allows for annual volumes to be quantified by inference, but unsupervised uses are guesstimated.
</t>
        </r>
        <r>
          <rPr>
            <b/>
            <sz val="8"/>
            <color indexed="62"/>
            <rFont val="Tahoma"/>
            <family val="2"/>
          </rPr>
          <t>7.</t>
        </r>
        <r>
          <rPr>
            <sz val="8"/>
            <color indexed="62"/>
            <rFont val="Tahoma"/>
            <family val="2"/>
          </rPr>
          <t xml:space="preserve"> Conditions between 6 and 8</t>
        </r>
        <r>
          <rPr>
            <sz val="8"/>
            <color indexed="81"/>
            <rFont val="Tahoma"/>
            <family val="2"/>
          </rPr>
          <t xml:space="preserve">
</t>
        </r>
        <r>
          <rPr>
            <b/>
            <sz val="8"/>
            <color indexed="12"/>
            <rFont val="Tahoma"/>
            <family val="2"/>
          </rPr>
          <t xml:space="preserve">8. </t>
        </r>
        <r>
          <rPr>
            <sz val="8"/>
            <color indexed="12"/>
            <rFont val="Tahoma"/>
            <family val="2"/>
          </rPr>
          <t>Clear policies and good recordkeeping exist for some uses (ex: unmetered fire connections registering consumption), but other uses (ex: miscellaneous uses of fire hydrants) have limited oversight.  Total consumption is a mix of well quantified use such as from formulae (time x typical flow) or temporary meters, and relatively subjective estimates of less regulated use.</t>
        </r>
        <r>
          <rPr>
            <sz val="8"/>
            <color indexed="81"/>
            <rFont val="Tahoma"/>
            <family val="2"/>
          </rPr>
          <t xml:space="preserve">
</t>
        </r>
        <r>
          <rPr>
            <b/>
            <sz val="8"/>
            <color indexed="81"/>
            <rFont val="Tahoma"/>
            <family val="2"/>
          </rPr>
          <t xml:space="preserve">9. </t>
        </r>
        <r>
          <rPr>
            <sz val="8"/>
            <color indexed="81"/>
            <rFont val="Tahoma"/>
            <family val="2"/>
          </rPr>
          <t xml:space="preserve">Conditions between 8 and 10
</t>
        </r>
        <r>
          <rPr>
            <b/>
            <sz val="8"/>
            <color indexed="17"/>
            <rFont val="Tahoma"/>
            <family val="2"/>
          </rPr>
          <t>10.</t>
        </r>
        <r>
          <rPr>
            <sz val="8"/>
            <color indexed="17"/>
            <rFont val="Tahoma"/>
            <family val="2"/>
          </rPr>
          <t xml:space="preserve"> Clear policies exist to identify permitted use of water in unbilled, unmetered fashion, with the intention of minimizing this type of consumption.  Good records document each occurrence and consumption is quantified via formulae (time x typical flow) or use of temporary meters.</t>
        </r>
        <r>
          <rPr>
            <sz val="8"/>
            <color indexed="81"/>
            <rFont val="Tahoma"/>
            <family val="2"/>
          </rPr>
          <t xml:space="preserve">
</t>
        </r>
      </text>
    </comment>
    <comment ref="J26" authorId="1" shapeId="0">
      <text>
        <r>
          <rPr>
            <b/>
            <sz val="8"/>
            <color indexed="81"/>
            <rFont val="Tahoma"/>
            <family val="2"/>
          </rPr>
          <t>Selecting the default percentage option will automatically assign a grading of 5 for this audit component</t>
        </r>
      </text>
    </comment>
    <comment ref="E38" authorId="0" shapeId="0">
      <text>
        <r>
          <rPr>
            <b/>
            <sz val="8"/>
            <color indexed="10"/>
            <rFont val="Tahoma"/>
            <family val="2"/>
          </rPr>
          <t>1.</t>
        </r>
        <r>
          <rPr>
            <sz val="8"/>
            <color indexed="10"/>
            <rFont val="Tahoma"/>
            <family val="2"/>
          </rPr>
          <t xml:space="preserve"> Extent of unauthorized consumption is unknown due to unclear policies and poor recordkeeping.  Total unauthorized consumption is guesstimated.  </t>
        </r>
        <r>
          <rPr>
            <sz val="8"/>
            <color indexed="81"/>
            <rFont val="Tahoma"/>
            <family val="2"/>
          </rPr>
          <t xml:space="preserve">
</t>
        </r>
        <r>
          <rPr>
            <b/>
            <sz val="8"/>
            <color indexed="53"/>
            <rFont val="Tahoma"/>
            <family val="2"/>
          </rPr>
          <t>2.</t>
        </r>
        <r>
          <rPr>
            <sz val="8"/>
            <color indexed="53"/>
            <rFont val="Tahoma"/>
            <family val="2"/>
          </rPr>
          <t xml:space="preserve"> Unauthorized consumption is a known occurrence, but its extent is a mystery.  There are no requirements to document observed events, but periodic field reports capture some of these occurrences.  Total unauthorized consumption is approximated from this limited data.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Procedures exist to document some unauthorized consumption such as observed unauthorized fire hydrant openings.  Use formulae to quantify this consumption (time running x typical flowrate x number of  events).  </t>
        </r>
        <r>
          <rPr>
            <sz val="8"/>
            <color indexed="81"/>
            <rFont val="Tahoma"/>
            <family val="2"/>
          </rPr>
          <t xml:space="preserve">
</t>
        </r>
        <r>
          <rPr>
            <b/>
            <sz val="8"/>
            <color indexed="81"/>
            <rFont val="Tahoma"/>
            <family val="2"/>
          </rPr>
          <t>5.</t>
        </r>
        <r>
          <rPr>
            <sz val="8"/>
            <color indexed="81"/>
            <rFont val="Tahoma"/>
            <family val="2"/>
          </rPr>
          <t xml:space="preserve"> Default value of 0.25% of system input volume is employed
</t>
        </r>
        <r>
          <rPr>
            <b/>
            <sz val="8"/>
            <color indexed="62"/>
            <rFont val="Tahoma"/>
            <family val="2"/>
          </rPr>
          <t xml:space="preserve">6. </t>
        </r>
        <r>
          <rPr>
            <sz val="8"/>
            <color indexed="62"/>
            <rFont val="Tahoma"/>
            <family val="2"/>
          </rPr>
          <t>Coherent policies exist for some forms of unauthorized consumption but others await closer evaluation. Reasonable surveillance and recordkeeping exist for occurrences that fall under the policy.  Volumes quantified by inference from these records.  Unsupervised uses are guesstimated.</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Clear policies and good recordkeeping exist for certain events (ex: tampering with water meters); other occurrences have limited oversight.  Total consumption is a combination of volumes from formulae (time x typical flow) and subjective estimates of unconfirmed consumption.</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Clear policies exist to identify all known unauthorized uses of water.  Staff and procedures exist to provide enforcement of policies and detect violations.  Each occurrence is quantified via formulae (time x typical flow) or similar methods.</t>
        </r>
        <r>
          <rPr>
            <sz val="8"/>
            <color indexed="81"/>
            <rFont val="Tahoma"/>
            <family val="2"/>
          </rPr>
          <t xml:space="preserve">  
</t>
        </r>
      </text>
    </comment>
    <comment ref="J38" authorId="1" shapeId="0">
      <text>
        <r>
          <rPr>
            <b/>
            <sz val="8"/>
            <color indexed="81"/>
            <rFont val="Tahoma"/>
            <family val="2"/>
          </rPr>
          <t>Selecting the default percentage option will automatically assign a grading of 5 for this audit component</t>
        </r>
      </text>
    </comment>
    <comment ref="E42" authorId="0" shapeId="0">
      <text>
        <r>
          <rPr>
            <b/>
            <sz val="8"/>
            <color indexed="81"/>
            <rFont val="Tahoma"/>
            <family val="2"/>
          </rPr>
          <t>n/a (not applicable).</t>
        </r>
        <r>
          <rPr>
            <sz val="8"/>
            <color indexed="81"/>
            <rFont val="Tahoma"/>
            <family val="2"/>
          </rPr>
          <t xml:space="preserve"> select n/a only if the entire customer population is unmetered. In such a case the volume entered must be zero.
</t>
        </r>
        <r>
          <rPr>
            <b/>
            <sz val="8"/>
            <color indexed="10"/>
            <rFont val="Tahoma"/>
            <family val="2"/>
          </rPr>
          <t>1.</t>
        </r>
        <r>
          <rPr>
            <sz val="8"/>
            <color indexed="10"/>
            <rFont val="Tahoma"/>
            <family val="2"/>
          </rPr>
          <t xml:space="preserve"> Customer meters exist, but with unorganized paper records on meters; no meter accuracy testing or meter replacement program.  Workflow is driven chaotically by customer complaints with no proactive management.  Loss volume due to aggregate meter inaccuracy is guesstimated.</t>
        </r>
        <r>
          <rPr>
            <sz val="8"/>
            <color indexed="81"/>
            <rFont val="Tahoma"/>
            <family val="2"/>
          </rPr>
          <t xml:space="preserve">
</t>
        </r>
        <r>
          <rPr>
            <b/>
            <sz val="8"/>
            <color indexed="53"/>
            <rFont val="Tahoma"/>
            <family val="2"/>
          </rPr>
          <t>2.</t>
        </r>
        <r>
          <rPr>
            <sz val="8"/>
            <color indexed="53"/>
            <rFont val="Tahoma"/>
            <family val="2"/>
          </rPr>
          <t xml:space="preserve"> Poor recordkeeping and meter oversight is recognized by water utility management who has allotted staff and funding resources to organize improved recordkeeping and start meter accuracy testing.  Existing paper records gathered and organized to provide cursory disposition of meter population.</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 xml:space="preserve">4. </t>
        </r>
        <r>
          <rPr>
            <sz val="8"/>
            <color indexed="20"/>
            <rFont val="Tahoma"/>
            <family val="2"/>
          </rPr>
          <t>Reliable recordkeeping exists; meter information is improving as meters are replaced.    Meter accuracy testing is conducted annually for a small number of meters.  Limited number of oldest meters replaced each year.  Inaccuracy volume is largely an estimate, but refined based upon limited testing data.</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 reliable electronic recordkeeping system for meters exists.  Population includes a mix of new high performing meters and dated meters with suspect accuracy.  Routine, but limited, meter accuracy testing and meter replacement occur.  Inaccuracy volume is quantified using a mix of reliable and less certain data.</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Ongoing meter replacement and accuracy testing result in highly accurate customer meter population.  Testing is conducted on samples of meters at varying lifespans to determine optimum replacement time for various types of meters.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 xml:space="preserve">10. </t>
        </r>
        <r>
          <rPr>
            <sz val="8"/>
            <color indexed="17"/>
            <rFont val="Tahoma"/>
            <family val="2"/>
          </rPr>
          <t>Good records of number, type and size of customer meters; ongoing meter replacement occurs.  Regular meter accuracy testing gives reliable measure of composite inaccuracy volume for the system.  New metering technology is embraced to keep overall accuracy improving.</t>
        </r>
      </text>
    </comment>
    <comment ref="J42" authorId="1" shapeId="0">
      <text>
        <r>
          <rPr>
            <b/>
            <sz val="8"/>
            <color indexed="81"/>
            <rFont val="Tahoma"/>
            <family val="2"/>
          </rPr>
          <t>Enter a value &lt; 10%</t>
        </r>
      </text>
    </comment>
    <comment ref="E43" authorId="0" shapeId="0">
      <text>
        <r>
          <rPr>
            <b/>
            <sz val="8"/>
            <color indexed="81"/>
            <rFont val="Tahoma"/>
            <family val="2"/>
          </rPr>
          <t xml:space="preserve">Note: </t>
        </r>
        <r>
          <rPr>
            <sz val="8"/>
            <color indexed="81"/>
            <rFont val="Tahoma"/>
            <family val="2"/>
          </rPr>
          <t xml:space="preserve">all water utilities incur some amount of this error. Even in water utilities with unmetered customer populations and fixed rate billing, errors occur in annual billing tabulations. Enter a positive value for the volume and select a grading.
</t>
        </r>
        <r>
          <rPr>
            <b/>
            <sz val="8"/>
            <color indexed="10"/>
            <rFont val="Tahoma"/>
            <family val="2"/>
          </rPr>
          <t>1.</t>
        </r>
        <r>
          <rPr>
            <sz val="8"/>
            <color indexed="10"/>
            <rFont val="Tahoma"/>
            <family val="2"/>
          </rPr>
          <t xml:space="preserve"> Vague policy for permitting (creating new customer accounts) and billing. Billing data maintained on paper records which are in disarray.  No audits conducted to confirm billing data handling efficiency.  Unknown number of customers escape routine billing due to lack of billing process oversight.</t>
        </r>
        <r>
          <rPr>
            <sz val="8"/>
            <color indexed="81"/>
            <rFont val="Tahoma"/>
            <family val="2"/>
          </rPr>
          <t xml:space="preserve">
</t>
        </r>
        <r>
          <rPr>
            <b/>
            <sz val="8"/>
            <color indexed="53"/>
            <rFont val="Tahoma"/>
            <family val="2"/>
          </rPr>
          <t>2.</t>
        </r>
        <r>
          <rPr>
            <sz val="8"/>
            <color indexed="53"/>
            <rFont val="Tahoma"/>
            <family val="2"/>
          </rPr>
          <t xml:space="preserve"> Policy for permitting and billing exists but needs refinement. Billing data maintained on paper records or insufficiently capable electronic database.  Only periodic unstructured auditing work conducted to confirm billing data handling efficiency.  Volume of unbilled water due to billing lapses is a guess.</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Policy and procedures for permitting and billing exist but needs refinement.  Computerized billing system exists, but is dated or lacks needed functionality.  Periodic, limited internal audits conducted and confirm with approximate accuracy the consumption volumes lost to billing lapses.</t>
        </r>
        <r>
          <rPr>
            <sz val="8"/>
            <color indexed="81"/>
            <rFont val="Tahoma"/>
            <family val="2"/>
          </rPr>
          <t xml:space="preserve">
</t>
        </r>
        <r>
          <rPr>
            <b/>
            <sz val="8"/>
            <color indexed="81"/>
            <rFont val="Tahoma"/>
            <family val="2"/>
          </rPr>
          <t xml:space="preserve">5. </t>
        </r>
        <r>
          <rPr>
            <sz val="8"/>
            <color indexed="81"/>
            <rFont val="Tahoma"/>
            <family val="2"/>
          </rPr>
          <t xml:space="preserve">Conditions between 4 and 6
</t>
        </r>
        <r>
          <rPr>
            <b/>
            <sz val="8"/>
            <color indexed="62"/>
            <rFont val="Tahoma"/>
            <family val="2"/>
          </rPr>
          <t>6.</t>
        </r>
        <r>
          <rPr>
            <sz val="8"/>
            <color indexed="62"/>
            <rFont val="Tahoma"/>
            <family val="2"/>
          </rPr>
          <t xml:space="preserve"> Policy for permitting and billing is adequate and reviewed periodically.  Computerized billing system in use with basic reporting available.  Any effect of billing adjustments on measured consumption volumes is well understood.  Internal checks of billing data error conducted annually.  Reasonably accurate quantification of consumption volume lost to billing lapses is obtained.</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Permitting and billing policy reviewed at least biannually.  Computerized billing system includes an array of reports to confirm billing data and system functionality.  Annual internal checks conducted with periodic third party audit.  Accountability checks flag billing lapses.  Consumption lost to billing lapses is well quantified and reducing year-by-year.</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Sound policy exists for permitting of all customer billing accounts.  Robust computerized billing system gives high functionality and reporting capabilities.  Assessment of policy and data handling errors conducted internally and audited by third party annually, ensuring consumption lost to billing lapses is minimized and detected as it occurs. </t>
        </r>
      </text>
    </comment>
    <comment ref="E62" authorId="0" shapeId="0">
      <text>
        <r>
          <rPr>
            <b/>
            <sz val="8"/>
            <color indexed="10"/>
            <rFont val="Tahoma"/>
            <family val="2"/>
          </rPr>
          <t>1.</t>
        </r>
        <r>
          <rPr>
            <sz val="8"/>
            <color indexed="10"/>
            <rFont val="Tahoma"/>
            <family val="2"/>
          </rPr>
          <t xml:space="preserve"> Poorly assembled and maintained paper as-built records of existing water main installations makes accurate determination of system pipe length impossible.  Length of mains is guesstimated.</t>
        </r>
        <r>
          <rPr>
            <sz val="8"/>
            <color indexed="81"/>
            <rFont val="Tahoma"/>
            <family val="2"/>
          </rPr>
          <t xml:space="preserve">
</t>
        </r>
        <r>
          <rPr>
            <b/>
            <sz val="8"/>
            <color indexed="53"/>
            <rFont val="Tahoma"/>
            <family val="2"/>
          </rPr>
          <t xml:space="preserve">2. </t>
        </r>
        <r>
          <rPr>
            <sz val="8"/>
            <color indexed="53"/>
            <rFont val="Tahoma"/>
            <family val="2"/>
          </rPr>
          <t>Paper records in poor condition (no annual tracking of installations &amp; abandonments).  Poor procedures to ensure that new water mains installed by developers are accurately documented.</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Sound policy and procedures for permitting and documenting new water main installations, but gaps in management result in a uncertain degree of error in tabulation of mains length.</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Sound policy and procedures exist for permitting and commissioning new water mains.  Highly accurate paper records with regular field validation; or electronic records and asset management system in good condition.  Includes system backup.</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Sound policy and procedures exist for permitting and commissioning new water mains.  Electronic recordkeeping and asset management system are used to store and manage data.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Sound policy exists for managing water mains extensions and replacements.  Geographic Information System (GIS) data and asset management database agree and random field validation proves truth of databases.</t>
        </r>
      </text>
    </comment>
    <comment ref="E63" authorId="0" shapeId="0">
      <text>
        <r>
          <rPr>
            <b/>
            <sz val="8"/>
            <color indexed="10"/>
            <rFont val="Tahoma"/>
            <family val="2"/>
          </rPr>
          <t xml:space="preserve">1. </t>
        </r>
        <r>
          <rPr>
            <sz val="8"/>
            <color indexed="10"/>
            <rFont val="Tahoma"/>
            <family val="2"/>
          </rPr>
          <t>Vague permitting (of new service connections) policy and poor paper recordkeeping of customer connections/billings result in suspect determination of the number of service connections, which may be 10-15% in error from actual count.</t>
        </r>
        <r>
          <rPr>
            <sz val="8"/>
            <color indexed="81"/>
            <rFont val="Tahoma"/>
            <family val="2"/>
          </rPr>
          <t xml:space="preserve"> 
</t>
        </r>
        <r>
          <rPr>
            <b/>
            <sz val="8"/>
            <color indexed="53"/>
            <rFont val="Tahoma"/>
            <family val="2"/>
          </rPr>
          <t>2.</t>
        </r>
        <r>
          <rPr>
            <sz val="8"/>
            <color indexed="53"/>
            <rFont val="Tahoma"/>
            <family val="2"/>
          </rPr>
          <t xml:space="preserve"> General permitting policy exists but paper records, procedural gaps, and weak oversight result in questionable total for number of connections, which may vary 5-10% of actual count.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Permitting policy and procedures exist, but with some gaps in performance and oversight.  Computerized information management system is being brought online to replace dated paper recordkeeping system.  Reasonably accurate tracking of service connection installations &amp; abandonments; but count can be up to 5% in error from actual total.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Permitting policy and procedures are adequate and reviewed periodically.  Computerized information management system is in use with annual installations &amp; abandonments totaled.  Very limited field verifications and audits.  Error in count of number of service connections is believed to be no more that 3%.</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Permitting policy and procedures reviewed at least biannually.  Well-managed computerized information management system and routine, periodic field checks and internal system audits allows counts of connections that is no more than 2% in error.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 xml:space="preserve">10. </t>
        </r>
        <r>
          <rPr>
            <sz val="8"/>
            <color indexed="17"/>
            <rFont val="Tahoma"/>
            <family val="2"/>
          </rPr>
          <t>Sound permitting policy and well managed and audited procedures ensure reliable management of service connection population.  Computerized information management system and Geographic Information System (GIS) information agree; field validation proves truth of databases.  Count of connections believed to be in error by less than 1%.</t>
        </r>
        <r>
          <rPr>
            <sz val="8"/>
            <color indexed="81"/>
            <rFont val="Tahoma"/>
            <family val="2"/>
          </rPr>
          <t xml:space="preserve">
</t>
        </r>
      </text>
    </comment>
    <comment ref="E65" authorId="0" shapeId="0">
      <text>
        <r>
          <rPr>
            <b/>
            <sz val="8"/>
            <color indexed="81"/>
            <rFont val="Tahoma"/>
            <family val="2"/>
          </rPr>
          <t xml:space="preserve">Note: </t>
        </r>
        <r>
          <rPr>
            <sz val="8"/>
            <color indexed="81"/>
            <rFont val="Tahoma"/>
            <family val="2"/>
          </rPr>
          <t xml:space="preserve">if customer water meters are located outside of the customer building next to the curbstop or boundary separating utility/customer responsibility, follow the grading description for 10(a) below. Also see the Service Connection Diagram worksheet.
</t>
        </r>
        <r>
          <rPr>
            <b/>
            <sz val="8"/>
            <color indexed="10"/>
            <rFont val="Tahoma"/>
            <family val="2"/>
          </rPr>
          <t>1.</t>
        </r>
        <r>
          <rPr>
            <sz val="8"/>
            <color indexed="10"/>
            <rFont val="Tahoma"/>
            <family val="2"/>
          </rPr>
          <t xml:space="preserve"> Vague policy exists to define the delineation of water utility ownership and customer ownership of the service connection piping.  Curbstops are perceived as the breakpoint but these have not been well-maintained or documented.  Most are buried or obscured.  Their location varies widely from site-to-site, and estimating this distance is arbitrary due to the unknown location of many curbstops.</t>
        </r>
        <r>
          <rPr>
            <sz val="8"/>
            <color indexed="81"/>
            <rFont val="Tahoma"/>
            <family val="2"/>
          </rPr>
          <t xml:space="preserve">
</t>
        </r>
        <r>
          <rPr>
            <b/>
            <sz val="8"/>
            <color indexed="53"/>
            <rFont val="Tahoma"/>
            <family val="2"/>
          </rPr>
          <t>2.</t>
        </r>
        <r>
          <rPr>
            <sz val="8"/>
            <color indexed="53"/>
            <rFont val="Tahoma"/>
            <family val="2"/>
          </rPr>
          <t xml:space="preserve"> Policy requires that the curbstop serves as the delineation point between water utility ownership and customer ownership of the service connection piping.  The piping from the water main to the curbstop is the property of the water utility; and the piping from the curbstop to the customer building is owned by the customer.  Curbstop locations are not well documented and the average distance is based upon a limited number of locations measured in the field.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Good policy requires that the curbstop serves as the delineation point between water utility ownership and customer ownership of the service connection piping.  Curbstops are generally installed as needed and are reasonably documented.  Their location varies widely from site-to-site, and an estimate of this distance is hindered by the availability of paper records.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 xml:space="preserve">6. </t>
        </r>
        <r>
          <rPr>
            <sz val="8"/>
            <color indexed="62"/>
            <rFont val="Tahoma"/>
            <family val="2"/>
          </rPr>
          <t xml:space="preserve">Clear policy exists to define utility/customer responsibility for service connection piping.  Accurate, well-maintained paper or basic electronic recordkeeping system exists.  Periodic field checks confirm piping lengths for a sample of customer properties.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Clearly worded policy standardizes the location of curbstops and meters, which are inspected upon installation.  Accurate and well maintained electronic records exist with periodic field checks to confirm locations of service lines, curbstops and customer meter pits.  An accurate number of customer properties from the customer billing system allows for reliable averaging of this length.</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Either of two conditions can be met to obtain a grading of 10:
a) The customer water meter is located outside of the customer building adjacent to the curbstop or boundary separating utility/customer responsibility for the service connection piping.  In this case enter a value of zero in the Reporting Worksheet with a grading of 10.
b). Customer water meters are located inside customer buildings, or the properties are unmetered.  In either case the distance is highly reliable since data is drawn from a Geographic Information System (GIS) and confirmed by routine field checks.</t>
        </r>
      </text>
    </comment>
    <comment ref="E67" authorId="0" shapeId="0">
      <text>
        <r>
          <rPr>
            <b/>
            <sz val="8"/>
            <color indexed="10"/>
            <rFont val="Tahoma"/>
            <family val="2"/>
          </rPr>
          <t xml:space="preserve">1. </t>
        </r>
        <r>
          <rPr>
            <sz val="8"/>
            <color indexed="10"/>
            <rFont val="Tahoma"/>
            <family val="2"/>
          </rPr>
          <t xml:space="preserve">Available records are poorly assembled and maintained paper records of supply pump characteristics and water distribution system operating conditions.  Average pressure is guesstimated based upon this information and ground elevations from crude topographical maps.  Widely varying distribution system pressures due to undulating terrain, high system head loss and weak/erratic pressure controls further compromise the validity of the average pressure calculation.  </t>
        </r>
        <r>
          <rPr>
            <sz val="8"/>
            <color indexed="81"/>
            <rFont val="Tahoma"/>
            <family val="2"/>
          </rPr>
          <t xml:space="preserve">
</t>
        </r>
        <r>
          <rPr>
            <b/>
            <sz val="8"/>
            <color indexed="53"/>
            <rFont val="Tahoma"/>
            <family val="2"/>
          </rPr>
          <t xml:space="preserve">2. </t>
        </r>
        <r>
          <rPr>
            <sz val="8"/>
            <color indexed="53"/>
            <rFont val="Tahoma"/>
            <family val="2"/>
          </rPr>
          <t xml:space="preserve">Limited telemetry monitoring of scattered sites provides some static pressure data, which is recorded in handwritten logbooks.  Pressure data is gathered at individual sites only when low pressure complaints arise.  Average pressure is determined by averaging relatively crude data, and is affected by significant variation in ground elevations, system head loss and gaps in pressure controls in the distribution system.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Effective pressure controls separate different pressure zones; moderate pressure variation across the system, occasional open boundary valves are discovered that breech pressure zones.  Basic telemetry monitoring of the distribution system logs pressure data electronically.  Pressure data gathered by gauges or dataloggers at fire hydrants or buildings when low pressure complaints arise, and during fire flow tests and system flushing.  Reliable topographical data exists.  Average pressure is calculated using this mix of data. </t>
        </r>
        <r>
          <rPr>
            <sz val="8"/>
            <color indexed="81"/>
            <rFont val="Tahoma"/>
            <family val="2"/>
          </rPr>
          <t xml:space="preserve">
</t>
        </r>
        <r>
          <rPr>
            <b/>
            <sz val="8"/>
            <color indexed="81"/>
            <rFont val="Tahoma"/>
            <family val="2"/>
          </rPr>
          <t>5.</t>
        </r>
        <r>
          <rPr>
            <sz val="8"/>
            <color indexed="81"/>
            <rFont val="Tahoma"/>
            <family val="2"/>
          </rPr>
          <t xml:space="preserve"> Conditions between 4 and 6
</t>
        </r>
        <r>
          <rPr>
            <sz val="8"/>
            <color indexed="62"/>
            <rFont val="Tahoma"/>
            <family val="2"/>
          </rPr>
          <t xml:space="preserve">6. Reliable pressure controls separate distinct pressure zones; only very occasional open boundary valves are encountered that breech pressure zones.  Well-covered telemetry monitoring of the distribution system logs extensive pressure data electronically.  Pressure gathered by gauges/dataloggers at fire hydrants and buildings when low pressure complaints arise, and during fire flow tests and system flushing.  Average pressure is determined by using this mix of reliable data.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Well-managed, discrete pressure zones exist with generally predictable pressure fluctuations.  A current full-scale SCADA System exists to monitor the water distribution system and collect data, including real time pressure readings at representative sites across the system.  The average system pressure is determined from reliable SCADA System data. </t>
        </r>
        <r>
          <rPr>
            <sz val="8"/>
            <color indexed="81"/>
            <rFont val="Tahoma"/>
            <family val="2"/>
          </rPr>
          <t xml:space="preserve">
</t>
        </r>
        <r>
          <rPr>
            <b/>
            <sz val="8"/>
            <color indexed="81"/>
            <rFont val="Tahoma"/>
            <family val="2"/>
          </rPr>
          <t xml:space="preserve">9. </t>
        </r>
        <r>
          <rPr>
            <sz val="8"/>
            <color indexed="81"/>
            <rFont val="Tahoma"/>
            <family val="2"/>
          </rPr>
          <t xml:space="preserve">Conditions between 8 and 10
</t>
        </r>
        <r>
          <rPr>
            <b/>
            <sz val="8"/>
            <color indexed="17"/>
            <rFont val="Tahoma"/>
            <family val="2"/>
          </rPr>
          <t xml:space="preserve">10. </t>
        </r>
        <r>
          <rPr>
            <sz val="8"/>
            <color indexed="17"/>
            <rFont val="Tahoma"/>
            <family val="2"/>
          </rPr>
          <t xml:space="preserve">Well-managed pressure districts/zones, SCADA System and hydraulic model exist to give very precise pressure data across the water distribution system.  Average system pressure is reliably calculated from extensive, reliable, and cross-checked data. </t>
        </r>
      </text>
    </comment>
    <comment ref="E74" authorId="0" shapeId="0">
      <text>
        <r>
          <rPr>
            <b/>
            <sz val="8"/>
            <color indexed="10"/>
            <rFont val="Tahoma"/>
            <family val="2"/>
          </rPr>
          <t>1.</t>
        </r>
        <r>
          <rPr>
            <sz val="8"/>
            <color indexed="10"/>
            <rFont val="Tahoma"/>
            <family val="2"/>
          </rPr>
          <t xml:space="preserve"> Incomplete paper records and lack of documentation on many operating functions making calculation of water system operating costs a pure guesstimate</t>
        </r>
        <r>
          <rPr>
            <sz val="8"/>
            <color indexed="81"/>
            <rFont val="Tahoma"/>
            <family val="2"/>
          </rPr>
          <t xml:space="preserve">
</t>
        </r>
        <r>
          <rPr>
            <b/>
            <sz val="8"/>
            <color indexed="53"/>
            <rFont val="Tahoma"/>
            <family val="2"/>
          </rPr>
          <t>2.</t>
        </r>
        <r>
          <rPr>
            <sz val="8"/>
            <color indexed="53"/>
            <rFont val="Tahoma"/>
            <family val="2"/>
          </rPr>
          <t xml:space="preserve"> Reasonably maintained, but incomplete, paper or electronic accounting provides data to estimate the major portion of water system operating costs.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 xml:space="preserve">4. </t>
        </r>
        <r>
          <rPr>
            <sz val="8"/>
            <color indexed="20"/>
            <rFont val="Tahoma"/>
            <family val="2"/>
          </rPr>
          <t xml:space="preserve">Electronic, industry-standard cost accounting system in place.  Gaps in data known to exist, periodic internal reviews conducted but not a structured audit.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Reliable electronic, industry-standard cost accounting system in place, with all pertinent water system operating costs tracked.  Data audited periodically by utility personnel, not a Certified Public Accountant (CPA).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Reliable electronic, industry-standard cost accounting system in place, with all pertinent water system operating costs tracked.  Data audited at least annually by utility personnel, and periodically by third-party CPA.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Reliable electronic, industry-standard cost accounting system in place, with all pertinent water system operating costs tracked.  Data audited annually by utility personnel and by third-party CPA.  </t>
        </r>
        <r>
          <rPr>
            <sz val="8"/>
            <color indexed="81"/>
            <rFont val="Tahoma"/>
            <family val="2"/>
          </rPr>
          <t xml:space="preserve">
</t>
        </r>
      </text>
    </comment>
    <comment ref="E75" authorId="0" shapeId="0">
      <text>
        <r>
          <rPr>
            <b/>
            <sz val="8"/>
            <color indexed="10"/>
            <rFont val="Tahoma"/>
            <family val="2"/>
          </rPr>
          <t xml:space="preserve">1. </t>
        </r>
        <r>
          <rPr>
            <sz val="8"/>
            <color indexed="10"/>
            <rFont val="Tahoma"/>
            <family val="2"/>
          </rPr>
          <t>Antiquated, cumbersome water rate structure is use, with periodic historic amendments that were poorly documented and implemented; resulting in classes of customers being billed inconsistent charges.  The actual composite billing rate likely differs significantly from the published water rate structure, but a lack of auditing leaves the degree of error indeterminate.</t>
        </r>
        <r>
          <rPr>
            <sz val="8"/>
            <color indexed="81"/>
            <rFont val="Tahoma"/>
            <family val="2"/>
          </rPr>
          <t xml:space="preserve">
</t>
        </r>
        <r>
          <rPr>
            <b/>
            <sz val="8"/>
            <color indexed="53"/>
            <rFont val="Tahoma"/>
            <family val="2"/>
          </rPr>
          <t>2.</t>
        </r>
        <r>
          <rPr>
            <sz val="8"/>
            <color indexed="53"/>
            <rFont val="Tahoma"/>
            <family val="2"/>
          </rPr>
          <t xml:space="preserve"> Dated, cumbersome water rate structure, not always employed consistently in actual billing operations.  The actual composite billing rate is known to differ from the published water rate structure, and a reasonably accurate estimate of the degree of error is determined, allowing a composite billing rate to be quantified.</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 xml:space="preserve">4. </t>
        </r>
        <r>
          <rPr>
            <sz val="8"/>
            <color indexed="20"/>
            <rFont val="Tahoma"/>
            <family val="2"/>
          </rPr>
          <t>Straight-forward water rate structure in use, but not updated in several years.  Billing operations reliably employ the rate structure.  The composite billing rate is derived from a single customer class such as residential customer accounts, neglecting the effect of different rates from varying customer classes.</t>
        </r>
        <r>
          <rPr>
            <sz val="8"/>
            <color indexed="81"/>
            <rFont val="Tahoma"/>
            <family val="2"/>
          </rPr>
          <t xml:space="preserve">
</t>
        </r>
        <r>
          <rPr>
            <b/>
            <sz val="8"/>
            <color indexed="81"/>
            <rFont val="Tahoma"/>
            <family val="2"/>
          </rPr>
          <t>5.</t>
        </r>
        <r>
          <rPr>
            <sz val="8"/>
            <color indexed="81"/>
            <rFont val="Tahoma"/>
            <family val="2"/>
          </rPr>
          <t xml:space="preserve"> Customer population unmetered. Fixed fee charged; single composite number derived from multiple customer classes.
</t>
        </r>
        <r>
          <rPr>
            <b/>
            <sz val="8"/>
            <color indexed="62"/>
            <rFont val="Tahoma"/>
            <family val="2"/>
          </rPr>
          <t>6.</t>
        </r>
        <r>
          <rPr>
            <sz val="8"/>
            <color indexed="62"/>
            <rFont val="Tahoma"/>
            <family val="2"/>
          </rPr>
          <t xml:space="preserve"> Clearly written, up-to-date water rate structure is in force and is applied reliably in billing operations.  Composite customer rate is determined using a weighted average residential rate using volumes of water in each rate block.</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Effective water rate structure is in force and is applied reliably in billing operations.  Composite customer rate is determined using a weighted average composite consumption rate, including residential, commercial, industrial and any other customer classes within the water rate structure.</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 xml:space="preserve">10. </t>
        </r>
        <r>
          <rPr>
            <sz val="8"/>
            <color indexed="17"/>
            <rFont val="Tahoma"/>
            <family val="2"/>
          </rPr>
          <t>Third party reviewed weighted average composite consumption rate (includes residential, commercial, industrial, etc.)</t>
        </r>
      </text>
    </comment>
    <comment ref="E76" authorId="0" shapeId="0">
      <text>
        <r>
          <rPr>
            <b/>
            <sz val="8"/>
            <color indexed="81"/>
            <rFont val="Tahoma"/>
            <family val="2"/>
          </rPr>
          <t xml:space="preserve">Note: </t>
        </r>
        <r>
          <rPr>
            <sz val="8"/>
            <color indexed="81"/>
            <rFont val="Tahoma"/>
            <family val="2"/>
          </rPr>
          <t xml:space="preserve"> if the water utility purchases/imports its entire water supply, then enter the unit purchase cost of the bulk water supply in the Reporting Worksheet with a grading of 10
</t>
        </r>
        <r>
          <rPr>
            <b/>
            <sz val="8"/>
            <color indexed="10"/>
            <rFont val="Tahoma"/>
            <family val="2"/>
          </rPr>
          <t xml:space="preserve">1. </t>
        </r>
        <r>
          <rPr>
            <sz val="8"/>
            <color indexed="10"/>
            <rFont val="Tahoma"/>
            <family val="2"/>
          </rPr>
          <t>Incomplete paper records and lack of documentation on primary operating functions (electric power and treatment costs most importantly) makes calculation of variable production costs a pure guesstimate</t>
        </r>
        <r>
          <rPr>
            <sz val="8"/>
            <color indexed="81"/>
            <rFont val="Tahoma"/>
            <family val="2"/>
          </rPr>
          <t xml:space="preserve">
</t>
        </r>
        <r>
          <rPr>
            <b/>
            <sz val="8"/>
            <color indexed="53"/>
            <rFont val="Tahoma"/>
            <family val="2"/>
          </rPr>
          <t xml:space="preserve">2. </t>
        </r>
        <r>
          <rPr>
            <sz val="8"/>
            <color indexed="53"/>
            <rFont val="Tahoma"/>
            <family val="2"/>
          </rPr>
          <t xml:space="preserve">Reasonably maintained, but incomplete, paper or electronic accounting provides data to roughly estimate the basic operations costs (pumping power costs and treatment costs) and calculate a unit variable production cost. </t>
        </r>
        <r>
          <rPr>
            <sz val="8"/>
            <color indexed="81"/>
            <rFont val="Tahoma"/>
            <family val="2"/>
          </rPr>
          <t xml:space="preserve">
</t>
        </r>
        <r>
          <rPr>
            <b/>
            <sz val="8"/>
            <color indexed="81"/>
            <rFont val="Tahoma"/>
            <family val="2"/>
          </rPr>
          <t xml:space="preserve">3. </t>
        </r>
        <r>
          <rPr>
            <sz val="8"/>
            <color indexed="81"/>
            <rFont val="Tahoma"/>
            <family val="2"/>
          </rPr>
          <t xml:space="preserve">Conditions between 2 and 4
</t>
        </r>
        <r>
          <rPr>
            <b/>
            <sz val="8"/>
            <color indexed="20"/>
            <rFont val="Tahoma"/>
            <family val="2"/>
          </rPr>
          <t xml:space="preserve">4. </t>
        </r>
        <r>
          <rPr>
            <sz val="8"/>
            <color indexed="20"/>
            <rFont val="Tahoma"/>
            <family val="2"/>
          </rPr>
          <t xml:space="preserve">Electronic, industry-standard cost accounting system in place.  Electric power and treatment costs are reliably tracked and allow accurate calculation of unit variable production costs based on these two inputs only. All costs are audited internally on a periodic basis.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Reliable electronic, industry-standard cost accounting system in place, with all pertinent water system operating costs tracked.  Pertinent additional costs beyond power and treatment (ex: liability, residuals management, etc.) are included in the unit variable production cost.  Data audited at least annually by utility personnel.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 xml:space="preserve">8. </t>
        </r>
        <r>
          <rPr>
            <sz val="8"/>
            <color indexed="12"/>
            <rFont val="Tahoma"/>
            <family val="2"/>
          </rPr>
          <t xml:space="preserve">Reliable electronic, industry-standard cost accounting system in place, with all pertinent variable production costs tracked.  Data audited at least annually by utility personnel, and periodically by third-party.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Either of two conditions can be met to obtain a grading of 10:
a) Third party CPA audit of all primary and secondary cost components on an annual basis.
or:
b) Water supply is entirely purchased as bulk imported water, and unit purchase cost serves as the variable production cost.</t>
        </r>
      </text>
    </comment>
  </commentList>
</comments>
</file>

<file path=xl/sharedStrings.xml><?xml version="1.0" encoding="utf-8"?>
<sst xmlns="http://schemas.openxmlformats.org/spreadsheetml/2006/main" count="1109" uniqueCount="842">
  <si>
    <t>Improvements to attain higher data grading for "Unbilled Unmetered Consumption" component:</t>
  </si>
  <si>
    <t>Improvements to attain higher data grading for "Unauthorized Consumption" component:</t>
  </si>
  <si>
    <t>English 4.1</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</si>
  <si>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 from the yellow unit boxes):</t>
  </si>
  <si>
    <t>Regional Municipality of Peel</t>
  </si>
  <si>
    <t>Systematic data handling errors:</t>
  </si>
  <si>
    <t>Water imported:</t>
  </si>
  <si>
    <t>Water exported:</t>
  </si>
  <si>
    <t>Authorized Consumption</t>
  </si>
  <si>
    <t>Billed Authorized Consumption</t>
  </si>
  <si>
    <t>Revenue Water</t>
  </si>
  <si>
    <t>Billed Unmetered Consumption</t>
  </si>
  <si>
    <t>Unbilled Authorized Consumption</t>
  </si>
  <si>
    <t>Unbilled Metered Consumption</t>
  </si>
  <si>
    <t>Non-Revenue Water (NRW)</t>
  </si>
  <si>
    <t>Unbilled Unmetered Consumption</t>
  </si>
  <si>
    <t>Unauthorized Consumption</t>
  </si>
  <si>
    <t>Customer Metering Inaccuracies</t>
  </si>
  <si>
    <t>Leakage on Transmission and/or Distribution Mains</t>
  </si>
  <si>
    <t>Leakage and Overflows at Utility's Storage Tanks</t>
  </si>
  <si>
    <t>Unauthorized consumption</t>
  </si>
  <si>
    <t>Systematic data handling errors</t>
  </si>
  <si>
    <t>NON-REVENUE WATER</t>
  </si>
  <si>
    <t>Average operating pressure</t>
  </si>
  <si>
    <t>Total annual cost of operating the water system</t>
  </si>
  <si>
    <t>Customer retail unit cost</t>
  </si>
  <si>
    <r>
      <t xml:space="preserve"> AWWA WLCC Free Water Audit Software: </t>
    </r>
    <r>
      <rPr>
        <b/>
        <u/>
        <sz val="16"/>
        <color indexed="9"/>
        <rFont val="Courier New"/>
        <family val="3"/>
      </rPr>
      <t>Reporting Worksheet</t>
    </r>
  </si>
  <si>
    <t xml:space="preserve">Extent of unauthorized consumption is unknown due to unclear policies and poor recordkeeping.  Total unauthorized consumption is guesstimated.  </t>
  </si>
  <si>
    <t>&gt;1 = higher customer cost</t>
  </si>
  <si>
    <t>&lt;1 = lower customer cost</t>
  </si>
  <si>
    <t>$/100 cubic feet (ccf)</t>
  </si>
  <si>
    <t>.</t>
  </si>
  <si>
    <t>Master meter error adjustment</t>
  </si>
  <si>
    <t>Water Imported</t>
  </si>
  <si>
    <t>Water Exported</t>
  </si>
  <si>
    <t xml:space="preserve">Dated written procedures permit billing exemption for specific accounts, such as municipal properties, but are unclear regarding certain other types of accounts.  Meter reading is given low priority and is sporadic.   Consumption is quantified from meter readings where available.  The total number of unbilled, unmetered accounts must be estimated along with consumption volumes.          </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</si>
  <si>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</si>
  <si>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</si>
  <si>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</si>
  <si>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</si>
  <si>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</si>
  <si>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</si>
  <si>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</si>
  <si>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Superior reliability, capacity and integrity of the water supply infrastructure make it relatively immune to supply shortages.</t>
  </si>
  <si>
    <t>Water resources are costly to develop or purchase; ability to increase revenues via water rates is greatly limited because of regulation or low ratepayer affordability.</t>
  </si>
  <si>
    <t>Cost to purchase or obtain/treat water is low, as are rates charged to customers.</t>
  </si>
  <si>
    <t>Operating with system leakage above this level would require expansion of existing infrastructure and/or additional water resources to meet the demand.</t>
  </si>
  <si>
    <t>Existing water supply infrastructure capability is sufficient to meet long-term demand as long as reasonable leakage management controls are in place.</t>
  </si>
  <si>
    <t xml:space="preserve">Available resources are greatly limited and are very difficult and/or environmentally unsound to develop.  </t>
  </si>
  <si>
    <t>Water resources are believed to be sufficient to meet long-term needs, but demand management interventions (leakage management, water conservation) are included in the long-term planning.</t>
  </si>
  <si>
    <t>Water resources are plentiful, reliable, and easily extracted.</t>
  </si>
  <si>
    <t>Although operational and financial considerations may allow a long-term ILI greater than 8.0, such a level of leakage is not an effective utilization of water as a resource.  Setting a target level greater than 8.0 - other than as an incremental goal to a smaller long-term target - is discouraged.</t>
  </si>
  <si>
    <t>Water resources can be developed or purchased at reasonable expense; periodic water rate increases can be feasibly imposed and are tolerated by the customer population.</t>
  </si>
  <si>
    <t xml:space="preserve">Unauthorized consumption is a known occurrence, but its extent is a mystery.  There are no requirements to document observed events, but periodic field reports capture some of these occurrences.  Total unauthorized consumption is approximated from this limited data.  </t>
  </si>
  <si>
    <t>conditions between 2 and 4</t>
  </si>
  <si>
    <t xml:space="preserve">Available records are poorly assembled and maintained paper records of supply pump characteristics and water distribution system operating conditions.  Average pressure is guesstimated based upon this information and ground elevations from crude topographical maps.  Widely varying distribution system pressures due to undulating terrain, high system head loss and weak/erratic pressure controls further compromise the validity of the average pressure calculation.  </t>
  </si>
  <si>
    <t>Megalitres (thousand cubic metres)</t>
  </si>
  <si>
    <t>Acre-feet</t>
  </si>
  <si>
    <t>Million gallons (US)</t>
  </si>
  <si>
    <t>Units and Conversions</t>
  </si>
  <si>
    <t>Select n/a if the water utility's supply is exclusively from its own water resources (no bulk purchased/ imported water)</t>
  </si>
  <si>
    <t>Less than 25% of imported water sources are metered, remaining sources are estimated.  No regular meter accuracy testing.</t>
  </si>
  <si>
    <t xml:space="preserve">25% - 50% of imported water sources are metered; other sources estimated.  No regular meter accuracy testing. </t>
  </si>
  <si>
    <t>Select n/a if the water utility sells no bulk water to neighboring water utilities (no exported water sales)</t>
  </si>
  <si>
    <t>Less than 25% of exported water sources are metered, remaining sources are estimated.  No regular meter accuracy testing.</t>
  </si>
  <si>
    <t>metres (head)</t>
  </si>
  <si>
    <t>$/Megalitre</t>
  </si>
  <si>
    <t>Retail costs are less than (or equal to) production costs; please review and correct if necessary</t>
  </si>
  <si>
    <t>litres/connection/day</t>
  </si>
  <si>
    <t>N/A</t>
  </si>
  <si>
    <t>Real Losses per service connection per day per meter (head) pressure:</t>
  </si>
  <si>
    <t>litres/connection/day/m</t>
  </si>
  <si>
    <t xml:space="preserve">     1: Volume from own sources</t>
  </si>
  <si>
    <t>Non-revenue water as percent by cost of operating system:</t>
  </si>
  <si>
    <t>Non-revenue water as percent by volume of Water Supplied:</t>
  </si>
  <si>
    <t>select n/a only if the entire customer population is unmetered. In such a case the volume entered must be zero.</t>
  </si>
  <si>
    <t>Note: all water utilities incur some amount of this error. Even in water utilities with unmetered customer populations and fixed rate billing, errors occur in annual billing tabulations. Enter a positive value for the volume and select a grading.</t>
  </si>
  <si>
    <t>n/a</t>
  </si>
  <si>
    <t>Real Losses (Current Annual Real Losses or CARL)</t>
  </si>
  <si>
    <t>Infrastructure Leakage Index (ILI) [CARL/UARL]:</t>
  </si>
  <si>
    <t>From Above, Real Losses = Current Annual Real Losses (CARL):</t>
  </si>
  <si>
    <t xml:space="preserve">If the calculated Infrastructure Leakage Index (ILI) value for your system is 1.0 or less, two possibilities exist.   a) you are maintaining your leakage at low levels in a class with the top worldwide performers in leakage control.  b) A portion of your data may be flawed, causing your losses to be greatly understated.  This is likely if you calculate a low ILI value but do not employ extensive leakage control practices in your operations.  In such cases it is beneficial to validate the data by performing field measurements to confirm the accuracy of production and customer meters, or to identify any other potential sources of error in the data.  </t>
  </si>
  <si>
    <t xml:space="preserve">Effective pressure controls separate different pressure zones; moderate pressure variation across the system, occasional open boundary valves are discovered that breech pressure zones.  Basic telemetry monitoring of the distribution system logs pressure data electronically.  Pressure data gathered by gauges or dataloggers at fire hydrants or buildings when low pressure complaints arise, and during fire flow tests and system flushing.  Reliable topographical data exists.  Average pressure is calculated using this mix of data. </t>
  </si>
  <si>
    <t>COST DATA</t>
  </si>
  <si>
    <t>REFERENCES:</t>
  </si>
  <si>
    <t>DEVELOPED BY:</t>
  </si>
  <si>
    <t>PERFORMANCE INDICATORS</t>
  </si>
  <si>
    <t>Financial Indicators</t>
  </si>
  <si>
    <t>Operational Efficiency Indicators</t>
  </si>
  <si>
    <t>Unavoidable Annual Real Losses (UARL):</t>
  </si>
  <si>
    <t>$/Year</t>
  </si>
  <si>
    <t>Unavoidable Annual Real Losses (UARL)</t>
  </si>
  <si>
    <t>Infrastructure Leakage Index (ILI)</t>
  </si>
  <si>
    <t>Target ILI Range</t>
  </si>
  <si>
    <t>Operational Considerations</t>
  </si>
  <si>
    <t>Water Resources Considerations</t>
  </si>
  <si>
    <t>Financial Considerations</t>
  </si>
  <si>
    <t>1.0 - 3.0</t>
  </si>
  <si>
    <t>Greater than 8.0</t>
  </si>
  <si>
    <t>Improvements to attain higher data grading for "Customer Retail Unit Cost" component: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</si>
  <si>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</si>
  <si>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</si>
  <si>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</si>
  <si>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</si>
  <si>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</si>
  <si>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</si>
  <si>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</si>
  <si>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</si>
  <si>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Coherent policies exist for some forms of unbilled, unmetered consumption but others await closer evaluation. Reasonable recordkeeping for the managed uses exists and allows for annual volumes to be quantified by inference, but unsupervised uses are guesstimated.</t>
  </si>
  <si>
    <t>Poorly assembled and maintained paper as-built records of existing water main installations makes accurate determination of system pipe length impossible.  Length of mains is guesstimated.</t>
  </si>
  <si>
    <t>*** YOUR SCORE IS: 66 out of 100 ***</t>
  </si>
  <si>
    <t xml:space="preserve">     2: Billed unmetered</t>
  </si>
  <si>
    <t xml:space="preserve">     3: Total annual cost of operating water system</t>
  </si>
  <si>
    <t>Apparent Losses per service connection per day:</t>
  </si>
  <si>
    <t>Real Losses per service connection per day*:</t>
  </si>
  <si>
    <t>Real Losses per length of main per day*:</t>
  </si>
  <si>
    <t>Apparent Losses:</t>
  </si>
  <si>
    <t>Grade</t>
  </si>
  <si>
    <t>Weight</t>
  </si>
  <si>
    <t>Grade*Weight</t>
  </si>
  <si>
    <t>Score</t>
  </si>
  <si>
    <t>adjWeight</t>
  </si>
  <si>
    <t>adjFactor</t>
  </si>
  <si>
    <t>droppedPts</t>
  </si>
  <si>
    <t>Billed metered</t>
  </si>
  <si>
    <t>Billed unmetered</t>
  </si>
  <si>
    <t>Unbilled metered</t>
  </si>
  <si>
    <t>Unbilled unmetered</t>
  </si>
  <si>
    <t>Number of active AND inactive service connections</t>
  </si>
  <si>
    <t>Total annual cost of operating water system</t>
  </si>
  <si>
    <t>Preliminary Comparisons - can begin to rely upon the Infrastructure Leakage Index (ILI) for performance comparisons for real losses (see below table)</t>
  </si>
  <si>
    <t>Performance Benchmarking - ILI is meaningful in comparing real loss standing</t>
  </si>
  <si>
    <t>Identify Best Practices/ Best in class - the ILI is very reliable as a real loss performance indicator for best in class service</t>
  </si>
  <si>
    <t>Water Audit Data Validity Level / Score</t>
  </si>
  <si>
    <t>Clearly written, up-to-date water rate structure is in force and is applied reliably in billing operations.  Composite customer rate is determined using a weighted average residential rate using volumes of water in each rate block.</t>
  </si>
  <si>
    <t>Choose this option to enter a percentage of billed metered consumption. This is NOT a default value</t>
  </si>
  <si>
    <t>Systematic data handling errors are likely, please enter a non-zero value; otherwise grade = 5</t>
  </si>
  <si>
    <t>acre-feet</t>
  </si>
  <si>
    <t>The ratio of the Current Annual Real Losses (Real Losses) to the Unavoidable Annual Real Losses (UARL).  The ILI is a highly effective performance indicator for comparing (benchmarking) the performance of utilities in operational management of real losses.</t>
  </si>
  <si>
    <t>Water Losses</t>
  </si>
  <si>
    <t>Apparent Losses</t>
  </si>
  <si>
    <t>Real Losses</t>
  </si>
  <si>
    <t>Length of mains</t>
  </si>
  <si>
    <t>Incomplete paper records and lack of documentation on primary operating functions (electric power and treatment costs most importantly) makes calculation of variable production costs a pure guesstimate</t>
  </si>
  <si>
    <t xml:space="preserve">select n/a if all billing-exempt consumption is unmetered.  </t>
  </si>
  <si>
    <t>Default value of 1.25% of system input volume is employed</t>
  </si>
  <si>
    <t>Real Losses = Water Losses - Apparent Losses:</t>
  </si>
  <si>
    <r>
      <t>Average</t>
    </r>
    <r>
      <rPr>
        <sz val="10"/>
        <rFont val="Courier New"/>
        <family val="3"/>
      </rPr>
      <t xml:space="preserve"> length of customer service line:</t>
    </r>
  </si>
  <si>
    <t>Customer retail unit cost (applied to Apparent Losses)</t>
  </si>
  <si>
    <t>Number of active AND inactive service connections:</t>
  </si>
  <si>
    <t>Customer retail unit cost (applied to Apparent Losses):</t>
  </si>
  <si>
    <t>Variable production cost (applied to Real Losses):</t>
  </si>
  <si>
    <t>Volume from own sources:</t>
  </si>
  <si>
    <t>Billed metered:</t>
  </si>
  <si>
    <t>Billed unmetered:</t>
  </si>
  <si>
    <t>Unbilled metered:</t>
  </si>
  <si>
    <t>Unbilled unmetered:</t>
  </si>
  <si>
    <t>Unauthorized consumption:</t>
  </si>
  <si>
    <t>Customer metering inaccuracies:</t>
  </si>
  <si>
    <t>Length of mains:</t>
  </si>
  <si>
    <t>Average operating pressure:</t>
  </si>
  <si>
    <t>Total annual cost of operating water system:</t>
  </si>
  <si>
    <t>Has grade</t>
  </si>
  <si>
    <t>Needs grade</t>
  </si>
  <si>
    <t>Grade Problem</t>
  </si>
  <si>
    <t>uniqueRank</t>
  </si>
  <si>
    <t>default(s) being used</t>
  </si>
  <si>
    <t>D</t>
  </si>
  <si>
    <t>Water Loss Control Planning Guide</t>
  </si>
  <si>
    <t>Functional Focus Area</t>
  </si>
  <si>
    <t>Dated, cumbersome water rate structure, not always employed consistently in actual billing operations.  The actual composite billing rate is known to differ from the published water rate structure, and a reasonably accurate estimate of the degree of error is determined, allowing a composite billing rate to be quantified.</t>
  </si>
  <si>
    <t>Straight-forward water rate structure in use, but not updated in several years.  Billing operations reliably employ the rate structure.  The composite billing rate is derived from a single customer class such as residential customer accounts, neglecting the effect of different rates from varying customer classes.</t>
  </si>
  <si>
    <t>ML/Yr</t>
  </si>
  <si>
    <t>kilometers</t>
  </si>
  <si>
    <t>conn./km main</t>
  </si>
  <si>
    <t>metres</t>
  </si>
  <si>
    <r>
      <t>Level I</t>
    </r>
    <r>
      <rPr>
        <sz val="10"/>
        <rFont val="Arial"/>
      </rPr>
      <t xml:space="preserve"> (0-25)</t>
    </r>
  </si>
  <si>
    <t/>
  </si>
  <si>
    <t>All volumes to be entered as: MEGALITRES (THOUSAND CUBIC METRES) PER YEAR</t>
  </si>
  <si>
    <t>Megalitres/yr (or ML/Yr)</t>
  </si>
  <si>
    <t>Water imported</t>
  </si>
  <si>
    <t>Volume from own sources</t>
  </si>
  <si>
    <t>Water exported</t>
  </si>
  <si>
    <t>Unbilled unmetered consumption</t>
  </si>
  <si>
    <t>Unbilled metered consumption</t>
  </si>
  <si>
    <t>Customer metering inaccuracies</t>
  </si>
  <si>
    <t xml:space="preserve">Clearly written policy identifies the types of accounts given a billing exemption, with emphasis on keeping such accounts to a minimum.  Customer meter management and meter reading for these accounts is given proper priority and is reliably conducted.  Regular auditing confirms this.  Total water consumption for these accounts is taken from reliable readings from accurate meters.         </t>
  </si>
  <si>
    <t>Note: if the water utility purchases/imports its entire water supply, then enter the unit purchase cost of the bulk water supply in the Reporting Worksheet with a grading of 10</t>
  </si>
  <si>
    <t>Improvements to attain higher data grading for "Customer meter inaccuracy volume" component:</t>
  </si>
  <si>
    <t>Improvements to attain higher data grading for "Systematic Data Handling Error volume" component:</t>
  </si>
  <si>
    <t>Improvements to attain higher data grading for "Length of Water Mains" component:</t>
  </si>
  <si>
    <t>Improvements to attain higher data grading for "Average Length of Customer Service Line" component:</t>
  </si>
  <si>
    <t xml:space="preserve">Value calculated based on input data </t>
  </si>
  <si>
    <t>Water Audit Report for:</t>
  </si>
  <si>
    <t>Reporting Year:</t>
  </si>
  <si>
    <t>SYSTEM DATA</t>
  </si>
  <si>
    <t>Connection density:</t>
  </si>
  <si>
    <t>Variable production cost (applied to Real Losses)</t>
  </si>
  <si>
    <r>
      <t>Variable production cost</t>
    </r>
    <r>
      <rPr>
        <sz val="10"/>
        <rFont val="Courier New"/>
        <family val="3"/>
      </rPr>
      <t xml:space="preserve"> </t>
    </r>
    <r>
      <rPr>
        <sz val="8"/>
        <rFont val="Courier New"/>
        <family val="3"/>
      </rPr>
      <t>(applied to Real Losses)</t>
    </r>
    <r>
      <rPr>
        <sz val="10"/>
        <rFont val="Courier New"/>
        <family val="3"/>
      </rPr>
      <t>:</t>
    </r>
  </si>
  <si>
    <t>Annual cost of Apparent Losses:</t>
  </si>
  <si>
    <t>Value can be entered by user</t>
  </si>
  <si>
    <t>A weighted scale for the components of consumption and water loss is included in the calculation of the Water Audit Data Validity Score</t>
  </si>
  <si>
    <t>Conditions between 
2 and 4</t>
  </si>
  <si>
    <t>Conditions between 
4 and 6</t>
  </si>
  <si>
    <t>Conditions between 
6 and 8</t>
  </si>
  <si>
    <t>Conditions between 
8 and 10</t>
  </si>
  <si>
    <t>Systematic Data Handling Errors</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</si>
  <si>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</si>
  <si>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</si>
  <si>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Improvements to attain higher data grading for "Variable Production Cost" component:</t>
  </si>
  <si>
    <t>1/2008 - 12/2008</t>
  </si>
  <si>
    <t xml:space="preserve">Billing practices exempt certain accounts, such as municipal buildings, but written policies do not exist; and a reliable count of unbilled metered accounts is unavailable.  Meter upkeep and meter reading on these accounts is rare and not considered a priority.  Due to poor recordkeeping and lack of auditing, water consumption for all such accounts is purely guesstimated.       </t>
  </si>
  <si>
    <t xml:space="preserve">Billing practices exempt certain accounts, such as municipal buildings, but only scattered, dated written directives exist to justify this practice.  A reliable count of unbilled metered accounts is unavailable.  Sporadic meter replacement and meter reading occurs on an as-needed basis.  The total annual water consumption for all unbilled, metered accounts is estimated based upon approximating the number of accounts and assigning consumption from actively billed accounts of same meter size.        </t>
  </si>
  <si>
    <t>Audit Data Collection</t>
  </si>
  <si>
    <t>Launch auditing and loss control team; address production metering deficiencies</t>
  </si>
  <si>
    <t>Analyze business process for customer metering and billing functions and water supply operations. Identify data gaps.</t>
  </si>
  <si>
    <t>Establish/revise policies and procedures for data collection</t>
  </si>
  <si>
    <t xml:space="preserve">Vague permitting (of new service connections) policy and poor paper recordkeeping of customer connections/billings result in suspect determination of the number of service connections, which may be 10-15% in error from actual count. </t>
  </si>
  <si>
    <t xml:space="preserve">General permitting policy exists but paper records, procedural gaps, and weak oversight result in questionable total for number of connections, which may vary 5-10% of actual count.    </t>
  </si>
  <si>
    <t>* only the most applicable of these two indicators will be calculated</t>
  </si>
  <si>
    <r>
      <t xml:space="preserve">Number of </t>
    </r>
    <r>
      <rPr>
        <u/>
        <sz val="10"/>
        <rFont val="Courier New"/>
        <family val="3"/>
      </rPr>
      <t>active AND inactive</t>
    </r>
    <r>
      <rPr>
        <sz val="10"/>
        <rFont val="Courier New"/>
        <family val="3"/>
      </rPr>
      <t xml:space="preserve"> service connections:</t>
    </r>
  </si>
  <si>
    <r>
      <t>Volume from own sources</t>
    </r>
    <r>
      <rPr>
        <sz val="10"/>
        <rFont val="Courier New"/>
        <family val="3"/>
      </rPr>
      <t>:</t>
    </r>
  </si>
  <si>
    <r>
      <t>Billed metered</t>
    </r>
    <r>
      <rPr>
        <sz val="10"/>
        <rFont val="Courier New"/>
        <family val="3"/>
      </rPr>
      <t>:</t>
    </r>
  </si>
  <si>
    <r>
      <t>Billed unmetered</t>
    </r>
    <r>
      <rPr>
        <sz val="10"/>
        <rFont val="Courier New"/>
        <family val="3"/>
      </rPr>
      <t>:</t>
    </r>
  </si>
  <si>
    <r>
      <t>Unbilled metered</t>
    </r>
    <r>
      <rPr>
        <sz val="10"/>
        <rFont val="Courier New"/>
        <family val="3"/>
      </rPr>
      <t>:</t>
    </r>
  </si>
  <si>
    <r>
      <t>Unbilled unmetered</t>
    </r>
    <r>
      <rPr>
        <sz val="10"/>
        <rFont val="Courier New"/>
        <family val="3"/>
      </rPr>
      <t>:</t>
    </r>
  </si>
  <si>
    <r>
      <t>Unauthorized consumption</t>
    </r>
    <r>
      <rPr>
        <sz val="10"/>
        <rFont val="Courier New"/>
        <family val="3"/>
      </rPr>
      <t>:</t>
    </r>
  </si>
  <si>
    <r>
      <t>Customer metering inaccuracies</t>
    </r>
    <r>
      <rPr>
        <sz val="10"/>
        <rFont val="Courier New"/>
        <family val="3"/>
      </rPr>
      <t>:</t>
    </r>
  </si>
  <si>
    <r>
      <t>Length of mains</t>
    </r>
    <r>
      <rPr>
        <sz val="10"/>
        <rFont val="Courier New"/>
        <family val="3"/>
      </rPr>
      <t>:</t>
    </r>
  </si>
  <si>
    <r>
      <t>Average operating pressure</t>
    </r>
    <r>
      <rPr>
        <sz val="10"/>
        <rFont val="Courier New"/>
        <family val="3"/>
      </rPr>
      <t>:</t>
    </r>
  </si>
  <si>
    <r>
      <t>Total annual cost of operating water system</t>
    </r>
    <r>
      <rPr>
        <sz val="10"/>
        <rFont val="Courier New"/>
        <family val="3"/>
      </rPr>
      <t>:</t>
    </r>
  </si>
  <si>
    <t>million gallons (US)</t>
  </si>
  <si>
    <t>$/1000 gallons (US)</t>
  </si>
  <si>
    <t>NON-REVENUE WATER:</t>
  </si>
  <si>
    <t>Billed Water Exported</t>
  </si>
  <si>
    <t>Less than 1.0</t>
  </si>
  <si>
    <r>
      <t xml:space="preserve"> </t>
    </r>
    <r>
      <rPr>
        <b/>
        <u/>
        <sz val="11"/>
        <rFont val="Courier New"/>
        <family val="3"/>
      </rPr>
      <t>PRIORITY AREAS FOR ATTENTION:</t>
    </r>
  </si>
  <si>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</si>
  <si>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</si>
  <si>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</si>
  <si>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</si>
  <si>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</si>
  <si>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</si>
  <si>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</si>
  <si>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</si>
  <si>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</si>
  <si>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Value:</t>
  </si>
  <si>
    <t>Pcnt:</t>
  </si>
  <si>
    <t>(reallosses * real loss cost per unit) + (apparent losses * apparent loss cost per unit * unit conversion factor)</t>
  </si>
  <si>
    <t>Average length of customer service line</t>
  </si>
  <si>
    <t>Average length of customer service line:</t>
  </si>
  <si>
    <t>Use of Option Buttons</t>
  </si>
  <si>
    <r>
      <t>m</t>
    </r>
    <r>
      <rPr>
        <vertAlign val="superscript"/>
        <sz val="10"/>
        <rFont val="Arial"/>
        <family val="2"/>
      </rPr>
      <t>3</t>
    </r>
  </si>
  <si>
    <t>million</t>
  </si>
  <si>
    <t>thousand cubic metres</t>
  </si>
  <si>
    <t>These cells contain recommended default values</t>
  </si>
  <si>
    <t xml:space="preserve"> </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</si>
  <si>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</si>
  <si>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</si>
  <si>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</si>
  <si>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</si>
  <si>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</si>
  <si>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</si>
  <si>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</si>
  <si>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</si>
  <si>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</si>
  <si>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</si>
  <si>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 xml:space="preserve">Written policies regarding billing exemptions exist but adherence in practice is questionable.  Metering and meter reading for municipal buildings is reliable but sporadic for other unbilled metered accounts.  Periodic auditing of such accounts is conducted.  Water consumption is quantified directly from meter readings where available, but the majority of the consumption is estimated.       </t>
  </si>
  <si>
    <t xml:space="preserve">Written policy identifies the types of accounts granted a billing exemption.  Customer meter management and meter reading are considered secondary priorities, but meter reading is conducted at least annually to obtain consumption volumes for the annual water audit.  High level auditing of billing records ensures that a reliable census of such accounts exists.          </t>
  </si>
  <si>
    <t xml:space="preserve">25% - 50% of exported water sources are metered; other sources estimated.  No regular meter accuracy testing. </t>
  </si>
  <si>
    <t>Select this grading only if the water utility purchases/imports all of its water resources (i.e. has no sources of its own)</t>
  </si>
  <si>
    <t>Improvements to attain higher data grading for "Volume from own Sources" component:</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</si>
  <si>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</si>
  <si>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</si>
  <si>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</si>
  <si>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</si>
  <si>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</si>
  <si>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</si>
  <si>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</si>
  <si>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</si>
  <si>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</si>
  <si>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</si>
  <si>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APPARENT LOSSES</t>
  </si>
  <si>
    <t xml:space="preserve"> Based on the information provided, audit accuracy can be improved by addressing the following components:</t>
  </si>
  <si>
    <r>
      <t xml:space="preserve"> </t>
    </r>
    <r>
      <rPr>
        <b/>
        <u/>
        <sz val="11"/>
        <rFont val="Courier New"/>
        <family val="3"/>
      </rPr>
      <t>WATER AUDIT DATA VALIDITY SCORE:</t>
    </r>
  </si>
  <si>
    <t>Improvements to attain higher data grading for "Average Operating Pressure" component:</t>
  </si>
  <si>
    <t>&lt;&lt; Enter grading in column 'E'</t>
  </si>
  <si>
    <t>ML/yr</t>
  </si>
  <si>
    <t xml:space="preserve">Reasonably maintained, but incomplete, paper or electronic accounting provides data to estimate the major portion of water system operating costs. </t>
  </si>
  <si>
    <t>- Alegre, H., Hirner, W., Baptista, J. and Parena, R. Performance Indicators for Water Supply Services.  IWA Publishing ‘Manual of Best Practice’ Series, 2000.  ISBN 1 900222 272</t>
  </si>
  <si>
    <t>WATER LOSSES:</t>
  </si>
  <si>
    <t>&gt;3.0 -5.0</t>
  </si>
  <si>
    <t>&gt;5.0 - 8.0</t>
  </si>
  <si>
    <t>AUTHORIZED CONSUMPTION:</t>
  </si>
  <si>
    <t>WATER SUPPLIED:</t>
  </si>
  <si>
    <t>WATER SUPPLIED</t>
  </si>
  <si>
    <t>AUTHORIZED CONSUMPTION</t>
  </si>
  <si>
    <t>WATER LOSSES (Water Supplied - Authorized Consumption)</t>
  </si>
  <si>
    <t>Annual cost of Real Losses:</t>
  </si>
  <si>
    <t>losses</t>
  </si>
  <si>
    <t>cost</t>
  </si>
  <si>
    <t>cost =</t>
  </si>
  <si>
    <t>$/1000 litres</t>
  </si>
  <si>
    <t>Own Sources</t>
  </si>
  <si>
    <t>(Adjusted for known errors)</t>
  </si>
  <si>
    <t>Water Supplied</t>
  </si>
  <si>
    <t>customer cost</t>
  </si>
  <si>
    <t>marginal production</t>
  </si>
  <si>
    <t xml:space="preserve">Extent of unbilled, unmetered consumption is unknown due to unclear policies and poor recordkeeping.  Total consumption is quantified based upon a purely subjective estimate.  </t>
  </si>
  <si>
    <t>n/a (not applicable). Select n/a only if the entire customer population is not metered and is billed for water service on a flat or fixed rate basis. In such a case the volume entered must be zero.</t>
  </si>
  <si>
    <t>Improvements to attain higher data grading for "Billed Metered Consumption" component:</t>
  </si>
  <si>
    <t xml:space="preserve">If n/a is selected because the customer meter population is unmetered, consider establishing a new policy to meter the customer population and employ water rates based upon metered volumes. </t>
  </si>
  <si>
    <t>Improvements to attain higher data grading for "Billed Unmetered Consumption" component:</t>
  </si>
  <si>
    <t>Clear extent of unbilled, unmetered consumption is unknown, but a number of events are randomly documented each year, confirming existence of such consumption, but without sufficient documentation to quantify an accurate estimate of the annual volume consumed.</t>
  </si>
  <si>
    <t>Improvements to attain higher data grading for "Total Annual Cost of Operating the Water System" component:</t>
  </si>
  <si>
    <t xml:space="preserve">Reasonably maintained, but incomplete, paper or electronic accounting provides data to roughly estimate the basic operations costs (pumping power costs and treatment costs) and calculate a unit variable production cost. </t>
  </si>
  <si>
    <r>
      <t xml:space="preserve">Customer retail unit cost </t>
    </r>
    <r>
      <rPr>
        <sz val="8"/>
        <rFont val="Courier New"/>
        <family val="3"/>
      </rPr>
      <t>(applied to Apparent Losses):</t>
    </r>
  </si>
  <si>
    <t>= Total Water Loss + Unbilled Metered + Unbilled Unmetered</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</si>
  <si>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</si>
  <si>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</si>
  <si>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</si>
  <si>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</si>
  <si>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</si>
  <si>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 xml:space="preserve">At least 75% of exported water sources are metered, meter accuracy testing and/or electronic calibration conducted annually.  Less than 25% of tested meters are found outside of +/- 6% accuracy.  </t>
  </si>
  <si>
    <t>For validity scores of 50 or below, the shaded blocks should not be focus areas until better data validity is achieved.</t>
  </si>
  <si>
    <r>
      <t>Level II</t>
    </r>
    <r>
      <rPr>
        <sz val="10"/>
        <rFont val="Arial"/>
      </rPr>
      <t xml:space="preserve"> (26-50)</t>
    </r>
  </si>
  <si>
    <r>
      <t>Level III</t>
    </r>
    <r>
      <rPr>
        <sz val="10"/>
        <rFont val="Arial"/>
      </rPr>
      <t xml:space="preserve"> (51-70)</t>
    </r>
  </si>
  <si>
    <r>
      <t>Level IV</t>
    </r>
    <r>
      <rPr>
        <sz val="10"/>
        <rFont val="Arial"/>
        <family val="2"/>
      </rPr>
      <t xml:space="preserve"> (71-90)</t>
    </r>
  </si>
  <si>
    <r>
      <t>Level V</t>
    </r>
    <r>
      <rPr>
        <sz val="10"/>
        <rFont val="Arial"/>
      </rPr>
      <t xml:space="preserve"> (91-100)</t>
    </r>
  </si>
  <si>
    <r>
      <t xml:space="preserve">Master meter error adjustment </t>
    </r>
    <r>
      <rPr>
        <sz val="9"/>
        <rFont val="Courier New"/>
        <family val="3"/>
      </rPr>
      <t>(enter positive value)</t>
    </r>
    <r>
      <rPr>
        <sz val="10"/>
        <rFont val="Courier New"/>
        <family val="3"/>
      </rPr>
      <t>:</t>
    </r>
  </si>
  <si>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</si>
  <si>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</si>
  <si>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Automatic Meter Reading (AMR) system.</t>
  </si>
  <si>
    <t>Billed Metered Consumption (water exported is removed)</t>
  </si>
  <si>
    <t>Enter negative % or value for under-registration</t>
  </si>
  <si>
    <t>Enter positive % or value for over-registration</t>
  </si>
  <si>
    <r>
      <t xml:space="preserve">Number of </t>
    </r>
    <r>
      <rPr>
        <u/>
        <sz val="10"/>
        <rFont val="Arial"/>
        <family val="2"/>
      </rPr>
      <t>active AND inactive</t>
    </r>
    <r>
      <rPr>
        <sz val="10"/>
        <rFont val="Arial"/>
        <family val="2"/>
      </rPr>
      <t xml:space="preserve"> service connections:</t>
    </r>
  </si>
  <si>
    <r>
      <t>Average</t>
    </r>
    <r>
      <rPr>
        <sz val="10"/>
        <rFont val="Arial"/>
        <family val="2"/>
      </rPr>
      <t xml:space="preserve"> length of customer service line:</t>
    </r>
  </si>
  <si>
    <r>
      <t xml:space="preserve"> </t>
    </r>
    <r>
      <rPr>
        <b/>
        <u/>
        <sz val="11"/>
        <rFont val="Arial Narrow"/>
        <family val="2"/>
      </rPr>
      <t>WATER AUDIT DATA VALIDITY SCORE:</t>
    </r>
  </si>
  <si>
    <r>
      <t xml:space="preserve"> </t>
    </r>
    <r>
      <rPr>
        <b/>
        <u/>
        <sz val="11"/>
        <rFont val="Arial Narrow"/>
        <family val="2"/>
      </rPr>
      <t>PRIORITY AREAS FOR ATTENTION:</t>
    </r>
  </si>
  <si>
    <t>Comment</t>
  </si>
  <si>
    <t>Vol. from own sources:</t>
  </si>
  <si>
    <t>Auth. Consumption</t>
  </si>
  <si>
    <t xml:space="preserve">If Yes, </t>
  </si>
  <si>
    <t>If Yes, force grade to 10</t>
  </si>
  <si>
    <t>If Yes, force length to 0</t>
  </si>
  <si>
    <t>= Water Losses + Unbilled Metered + Unbilled Unmetered</t>
  </si>
  <si>
    <t>MME</t>
  </si>
  <si>
    <t>Raw Vol</t>
  </si>
  <si>
    <t xml:space="preserve">              &lt;----------- Enter grading in column 'E' and 'J' ----------&gt;</t>
  </si>
  <si>
    <t>total weighting pts</t>
  </si>
  <si>
    <t>=            Water Losses:</t>
  </si>
  <si>
    <t>+              Real Losses:</t>
  </si>
  <si>
    <t>look into locking radio buttons in place - they often seem to move</t>
  </si>
  <si>
    <t>Format Shape &gt; Properties - Object positioning: Move and Size with cells</t>
  </si>
  <si>
    <t>Format Shape &gt; Properties - Object positioning: Move but don't size with cells</t>
  </si>
  <si>
    <t>Total Pts for Water Supplied (top 6 items):</t>
  </si>
  <si>
    <t>Grading weighting points in red</t>
  </si>
  <si>
    <t>Master meter error adjustment (Import)</t>
  </si>
  <si>
    <t>Master meter error adjustment (Export)</t>
  </si>
  <si>
    <t>System Attributes:</t>
  </si>
  <si>
    <t>Performance Indicators:</t>
  </si>
  <si>
    <t>We could add a 3rd option - another box for $ input (at user defined rate)</t>
  </si>
  <si>
    <t>Water exported: master meter error adjustment:</t>
  </si>
  <si>
    <t>Water imported: master meter error adjustment:</t>
  </si>
  <si>
    <t>Pcnt(1) or Val(2)</t>
  </si>
  <si>
    <t>Real Losses per service connection per day:</t>
  </si>
  <si>
    <r>
      <t xml:space="preserve"> AWWA Free Water Audit Software:
 </t>
    </r>
    <r>
      <rPr>
        <b/>
        <u/>
        <sz val="14"/>
        <color indexed="9"/>
        <rFont val="Arial"/>
        <family val="2"/>
      </rPr>
      <t>Reporting Worksheet</t>
    </r>
  </si>
  <si>
    <r>
      <t xml:space="preserve"> AWWA Free Water Audit Software:
 </t>
    </r>
    <r>
      <rPr>
        <b/>
        <u/>
        <sz val="14"/>
        <color indexed="9"/>
        <rFont val="Arial"/>
        <family val="2"/>
      </rPr>
      <t>System Attributes and Performance Indicators</t>
    </r>
  </si>
  <si>
    <t>Audit Item</t>
  </si>
  <si>
    <t>General Comment:</t>
  </si>
  <si>
    <t>FALSE=VPC;TRUE=CRUC</t>
  </si>
  <si>
    <t>Valued at</t>
  </si>
  <si>
    <t>Return to Reporting Worksheet to change this assumpiton</t>
  </si>
  <si>
    <r>
      <t xml:space="preserve"> AWWA Free Water Audit Software:
 </t>
    </r>
    <r>
      <rPr>
        <b/>
        <u/>
        <sz val="14"/>
        <color indexed="9"/>
        <rFont val="Arial"/>
        <family val="2"/>
      </rPr>
      <t>Dashboard</t>
    </r>
  </si>
  <si>
    <t xml:space="preserve">State / Province: </t>
  </si>
  <si>
    <t xml:space="preserve">Country: </t>
  </si>
  <si>
    <t xml:space="preserve">Name of Contact Person: </t>
  </si>
  <si>
    <t xml:space="preserve">Name of City / Utility: </t>
  </si>
  <si>
    <t xml:space="preserve">City/Town/Municipality: </t>
  </si>
  <si>
    <t xml:space="preserve">Email Address: </t>
  </si>
  <si>
    <t xml:space="preserve">Telephone (incl Ext.): </t>
  </si>
  <si>
    <t xml:space="preserve">Start Date: </t>
  </si>
  <si>
    <t>Please begin by providing the following information</t>
  </si>
  <si>
    <t xml:space="preserve">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t>
  </si>
  <si>
    <t>Use of Option  (Radio) Buttons:</t>
  </si>
  <si>
    <t>All audit data are entered on the</t>
  </si>
  <si>
    <t>Reporting Worksheet</t>
  </si>
  <si>
    <t xml:space="preserve">PWSID / Other ID: </t>
  </si>
  <si>
    <t>Non Revenue Water</t>
  </si>
  <si>
    <t xml:space="preserve"> AWWA Free Water Audit Software:
 Customer Service Line Diagrams</t>
  </si>
  <si>
    <t>If you have questions or comments regarding the software please contact us via email at:</t>
  </si>
  <si>
    <t xml:space="preserve">The spreadsheet contains several separate worksheets. Sheets can be accessed using the tabs towards the bottom of the screen, or by clicking the buttons below. </t>
  </si>
  <si>
    <t>The following worksheets are available by clicking the buttons below or selecting the tabs along the bottom of the page</t>
  </si>
  <si>
    <r>
      <t xml:space="preserve"> AWWA Free Water Audit Software:
 </t>
    </r>
    <r>
      <rPr>
        <b/>
        <u/>
        <sz val="14"/>
        <color indexed="9"/>
        <rFont val="Arial"/>
        <family val="2"/>
      </rPr>
      <t>Determining Water Loss Standing</t>
    </r>
  </si>
  <si>
    <t>General Guidelines for Setting a Target ILI
(without doing a full economic analysis of leakage control options)</t>
  </si>
  <si>
    <r>
      <t xml:space="preserve">Once data have been entered into the Reporting Worksheet, the performance indicators are automatically calculated.  How does a water utility operator know how well his or her system is performing?  The AWWA Water Loss Control Committee provided the following table to assist water utilities is gauging an approximate Infrastructure Leakage Index (ILI) that is appropriate for their water system and local conditions.  The lower the amount of leakage and real losses that exist in the system, then the lower the ILI value will be. 
</t>
    </r>
    <r>
      <rPr>
        <b/>
        <u/>
        <sz val="11"/>
        <rFont val="Arial"/>
        <family val="2"/>
      </rPr>
      <t>Note:</t>
    </r>
    <r>
      <rPr>
        <b/>
        <sz val="11"/>
        <rFont val="Arial"/>
        <family val="2"/>
      </rPr>
      <t xml:space="preserve"> </t>
    </r>
    <r>
      <rPr>
        <sz val="11"/>
        <rFont val="Arial"/>
        <family val="2"/>
      </rPr>
      <t xml:space="preserve">this table offers an approximate guideline for leakage reduction target-setting.  The best means of setting such targets include performing an economic assessment of various loss control methods.  However, this table is useful if such an assessment is not possible. </t>
    </r>
  </si>
  <si>
    <r>
      <t>- Kunkel, G. et al, 2003.  Water Loss Control Committee Report: Applying Worldwide Best Management Practices in Water Loss Control.  Journal AWWA, 95:8:65
- AWWA Water Audits and Loss Control Programs, M36 Publication, 3</t>
    </r>
    <r>
      <rPr>
        <i/>
        <vertAlign val="superscript"/>
        <sz val="12"/>
        <rFont val="Arial"/>
        <family val="2"/>
      </rPr>
      <t>rd</t>
    </r>
    <r>
      <rPr>
        <i/>
        <sz val="12"/>
        <rFont val="Arial"/>
        <family val="2"/>
      </rPr>
      <t xml:space="preserve"> Edition, 2009
- Service Connection Diagrams courtesy of Ronnie McKenzie, WRP Pty Ltd. </t>
    </r>
  </si>
  <si>
    <r>
      <t xml:space="preserve"> AWWA Free Water Audit Software:
 </t>
    </r>
    <r>
      <rPr>
        <b/>
        <u/>
        <sz val="14"/>
        <color indexed="9"/>
        <rFont val="Arial"/>
        <family val="2"/>
      </rPr>
      <t>Acknowledgements</t>
    </r>
  </si>
  <si>
    <t>Volume From Own Sources</t>
  </si>
  <si>
    <t>Syst. data handling errors</t>
  </si>
  <si>
    <t>Cust. metering inaccuracies</t>
  </si>
  <si>
    <t>Unauth. consumption</t>
  </si>
  <si>
    <t xml:space="preserve">          Cost $</t>
  </si>
  <si>
    <r>
      <t xml:space="preserve">Show me the </t>
    </r>
    <r>
      <rPr>
        <u/>
        <sz val="10"/>
        <rFont val="Arial"/>
        <family val="2"/>
      </rPr>
      <t>VOLUME</t>
    </r>
    <r>
      <rPr>
        <sz val="10"/>
        <rFont val="Arial"/>
        <family val="2"/>
      </rPr>
      <t xml:space="preserve"> of Non-Revenue Water</t>
    </r>
  </si>
  <si>
    <r>
      <t xml:space="preserve">Show me the </t>
    </r>
    <r>
      <rPr>
        <u/>
        <sz val="10"/>
        <rFont val="Arial"/>
        <family val="2"/>
      </rPr>
      <t>COST</t>
    </r>
    <r>
      <rPr>
        <sz val="10"/>
        <rFont val="Arial"/>
        <family val="2"/>
      </rPr>
      <t xml:space="preserve"> of Non-Revenue Water</t>
    </r>
  </si>
  <si>
    <t xml:space="preserve">Testing... different object positioning settings to try to prevent radio buttons from moving - seeing this on many completed audits. Evaluate performance during beta testing
</t>
  </si>
  <si>
    <t>Format Shape &gt; Properties - Was forced to change this to: size with cells because of "Can't shift objects off sheet error"</t>
  </si>
  <si>
    <t>Data for plotting the Cost/Volume Bar Chart on the Dashboard</t>
  </si>
  <si>
    <t>Data for plotting the Water Balance with volume-proportional bars on the Dashboard</t>
  </si>
  <si>
    <t xml:space="preserve">Year: </t>
  </si>
  <si>
    <t>The following guidance will help you complete the Audit</t>
  </si>
  <si>
    <t>Vol. from own sources: Master meter error adjustment:</t>
  </si>
  <si>
    <t xml:space="preserve">Are customer meters typically located at the curbstop or property line? </t>
  </si>
  <si>
    <t>1.5 BGD</t>
  </si>
  <si>
    <t xml:space="preserve">This is the average pressure in the distribution system that is the subject of the water audit.  Many water utilities have a calibrated hydraulic model of their water distribution system.  For these utilities, the hydraulic model can be utilized to obtain a very accurate quantity of average pressure.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</si>
  <si>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</si>
  <si>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</si>
  <si>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</si>
  <si>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</si>
  <si>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</si>
  <si>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</si>
  <si>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</si>
  <si>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</si>
  <si>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t>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</si>
  <si>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that the auditor apply a default value of 0.25% of the volume of water supplied.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have some volume of unauthorized consumption occurring in their system.
Note: if the auditor selects the default value for unauthorized consumption, a data grading of 5 is automatically assigned, but not displayed on the Reporting Worksheet.</t>
  </si>
  <si>
    <r>
      <t xml:space="preserve">The Customer Retail Unit Cost represents the charge that customers pay for water service.  This unit cost is applied routinely to the components of Apparent Loss, since these losses represent water reaching customers but not (fully) paid for.  Since most water utilities have a rate structure that includes a variety of different costs based upon class of customer, a weighted average of individual costs and number of customer accounts in each class can be calculated to determine a single composite cost that should be entered into this cell. Finally, the weighted average cost should also include additional charges for sewer, storm water or biosolids processing, </t>
    </r>
    <r>
      <rPr>
        <u/>
        <sz val="10"/>
        <rFont val="Arial"/>
        <family val="2"/>
      </rPr>
      <t>but only if</t>
    </r>
    <r>
      <rPr>
        <sz val="10"/>
        <rFont val="Arial"/>
        <family val="2"/>
      </rPr>
      <t xml:space="preserve"> these charges are based upon the volume of potable water consumed.
For water utilities in regions with limited water resources and a questionable ability to meet the drinking water demands in the future, the Customer Retail Unit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to the units that appear in the "WATER SUPPLIED" box.  The monetary units are United States dollars, $. </t>
    </r>
  </si>
  <si>
    <r>
      <t xml:space="preserve">UARL (gallons/day)=(5.41Lm + 0.15Nc + 7.5Lc) xP,          
                     or
UARL (litres/day)=(18.0Lm + 0.8Nc + 25.0Lc) xP
where:
Lm = length of mains (miles or kilometres)                                        
Nc = number of customer service connections
Lp = the average distance of customer service connection piping (feet or metres)
        (see the Worksheet "Service Connection Diagram" for guidance on deterring the value of Lp)                                         
Lc = total length of customer service connection piping (miles or km) 
     Lc = Nc  X  Lp (miles or kilometres)
P  = Pressure (psi or metres)
The UARL is a theoretical reference value representing the technical low limit of leakage that could be achieved if all of today's best technology could be successfully applied.  It is a key variable in the calculation of the Infrastructure Leakage Index (ILI).  Striving to reduce system leakage to a level close to the UARL is usually not needed unless the water supply is unusually expensive, scarce or both.
NOTE: The UARL calculation has not yet been proven as fully valid for very small, or low pressure water distribution systems.  If, 
</t>
    </r>
    <r>
      <rPr>
        <u/>
        <sz val="10"/>
        <rFont val="Arial"/>
        <family val="2"/>
      </rPr>
      <t>in gallons per day:</t>
    </r>
    <r>
      <rPr>
        <sz val="10"/>
        <rFont val="Arial"/>
        <family val="2"/>
      </rPr>
      <t xml:space="preserve">
(Lm x 32) + Nc &lt; 3000 or
P &lt;35psi
</t>
    </r>
    <r>
      <rPr>
        <u/>
        <sz val="10"/>
        <rFont val="Arial"/>
        <family val="2"/>
      </rPr>
      <t>in litres per day:</t>
    </r>
    <r>
      <rPr>
        <sz val="10"/>
        <rFont val="Arial"/>
        <family val="2"/>
      </rPr>
      <t xml:space="preserve">
(Lm x 20) + Nc &lt; 3000 or
P &lt; 25m
then the calculated UARL value may not be valid.  The software does not display a value of UARL or ILI if either of these conditions is true.</t>
    </r>
  </si>
  <si>
    <t>All consumption that is unbilled, but still authorized by the utility.  This includes Unbilled Metered Consumption + Unbilled Unmetered Consumption.  See "Authorized Consumption" for more information.  For Unbilled Unmetered Consumption, the Free Water Audit Software provides the auditor the option to select a default value if they have not audited unmetered activities in detail.  The default calculates a volume that is 1.25% of the Water Supplied volume.  If the auditor has carefully audited the various unbilled, unmetered, authorized uses of water, and has established reliable estimates of this collective volume, then he or she may enter the volume directly for this component, and not use the default value.</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</si>
  <si>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</si>
  <si>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r>
      <t xml:space="preserve">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
    </r>
    <r>
      <rPr>
        <u/>
        <sz val="10"/>
        <rFont val="Arial"/>
        <family val="2"/>
      </rPr>
      <t>treated</t>
    </r>
    <r>
      <rPr>
        <sz val="10"/>
        <rFont val="Arial"/>
        <family val="2"/>
      </rPr>
      <t xml:space="preserve"> drinking water that entered the distribution system.  Often the volume of water measured at the effluent of the treatment works is slightly less than the volume measured at the raw water source, since some of the water is used in the treatment process.  Thus, it is useful if flows are metered at the effluent of the treatment works.  If metering exists only at the raw water source, an adjustment for water used in the treatment process should be included to account for water consumed in treatment operations such as filter backwashing, basin flushing and cleaning, etc.  If the audit is conducted for a wholesale water agency that sells untreated water, then this quantity reflects the measure of the raw water, typically metered at the source.</t>
    </r>
  </si>
  <si>
    <t>The Water Imported volume is the bulk water purchased to become part of the Water Supplied volume.  Typically this is water purchased from a neighboring water utility or regional water authority,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</si>
  <si>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An estimate or measure of the volume in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Thus, a value of zero should </t>
    </r>
    <r>
      <rPr>
        <u/>
        <sz val="10"/>
        <rFont val="Arial"/>
        <family val="2"/>
      </rPr>
      <t>not</t>
    </r>
    <r>
      <rPr>
        <sz val="10"/>
        <rFont val="Arial"/>
        <family val="2"/>
      </rPr>
      <t xml:space="preserve"> be entered.  Enter a negative percentage or value for metered data under-registration; or enter a positive percentage or value for metered data over-registration.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</si>
  <si>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thus a value of zero should </t>
    </r>
    <r>
      <rPr>
        <u/>
        <sz val="10"/>
        <rFont val="Arial"/>
        <family val="2"/>
      </rPr>
      <t>not</t>
    </r>
    <r>
      <rPr>
        <sz val="10"/>
        <rFont val="Arial"/>
        <family val="2"/>
      </rPr>
      <t xml:space="preserve"> be entered.  Enter a negative percentage or value for metered data under-registration; or, enter a positive percentage or value for metered data over-registration.</t>
    </r>
  </si>
  <si>
    <r>
      <t xml:space="preserve">Any kind of Authorized Consumption which is neither billed or metered.  This component typically includes water used in activities such as fire fighting, flushing of water mains and sewers, street cleaning, fire flow tests conducted by the water utility, etc.  In most water utilities it is a small component which is very often substantially overestimated. </t>
    </r>
    <r>
      <rPr>
        <b/>
        <sz val="10"/>
        <rFont val="Arial"/>
        <family val="2"/>
      </rPr>
      <t xml:space="preserve"> It does NOT include water supplied to neighboring utilities (water exported) which is unmetered and unbilled – an unlikely case.</t>
    </r>
    <r>
      <rPr>
        <sz val="10"/>
        <rFont val="Arial"/>
        <family val="2"/>
      </rPr>
      <t xml:space="preserve">  This component has many sub-components of water use which are often tedious to identify and quantify.  Because of this, and the fact that it is usually a small portion of the water supplied, it is recommended that the auditor apply the default value, which is 1.25% of the Water Supplied volume.  Select the default percentage to enter this value.
If the water utility </t>
    </r>
    <r>
      <rPr>
        <u/>
        <sz val="10"/>
        <rFont val="Arial"/>
        <family val="2"/>
      </rPr>
      <t>has</t>
    </r>
    <r>
      <rPr>
        <sz val="10"/>
        <rFont val="Arial"/>
        <family val="2"/>
      </rPr>
      <t xml:space="preserve"> carefully audited the unbilled, unmetered activities occurring in the system, and has well validated data that gives a value substantially higher or lower than the default volume, then the auditor should enter their own volume.  However the default approach is recommended for most water utilities.
Note that a value of zero is not permitted, since all water utilities have some volume of water in this component occurring in their system.</t>
    </r>
  </si>
  <si>
    <r>
      <t xml:space="preserve">Number of </t>
    </r>
    <r>
      <rPr>
        <b/>
        <u/>
        <sz val="10"/>
        <rFont val="Arial"/>
        <family val="2"/>
      </rPr>
      <t>active AND inactive</t>
    </r>
    <r>
      <rPr>
        <b/>
        <sz val="10"/>
        <rFont val="Arial"/>
        <family val="2"/>
      </rPr>
      <t xml:space="preserve"> service connections</t>
    </r>
  </si>
  <si>
    <t>&gt;0 if a grading has been missed</t>
  </si>
  <si>
    <t>=0 if no reporting units selected</t>
  </si>
  <si>
    <t xml:space="preserve"> AWWA Free Water Audit Software:
 Definitions</t>
  </si>
  <si>
    <t>Apparent 
Losses</t>
  </si>
  <si>
    <t xml:space="preserve">
Average operating pressure</t>
  </si>
  <si>
    <t xml:space="preserve">
Billed metered consumption</t>
  </si>
  <si>
    <t xml:space="preserve">
Billed unmetered consumption</t>
  </si>
  <si>
    <t>Service connection density:</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</si>
  <si>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an alert will appear asking if the customer population is unmetered.  Since all metered systems have some degree of inaccuracy, a positive value should be entered.  A value of zero in this component is valid only if the water utility does not meter its customer population.    </t>
    </r>
  </si>
  <si>
    <t xml:space="preserve">
Water imported</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</si>
  <si>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</si>
  <si>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</si>
  <si>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</si>
  <si>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</si>
  <si>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</si>
  <si>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</si>
  <si>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</si>
  <si>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</si>
  <si>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</si>
  <si>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</si>
  <si>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</si>
  <si>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</si>
  <si>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</si>
  <si>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</si>
  <si>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</si>
  <si>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</si>
  <si>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</si>
  <si>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</si>
  <si>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</si>
  <si>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</si>
  <si>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</si>
  <si>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</si>
  <si>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</si>
  <si>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</si>
  <si>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</si>
  <si>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</si>
  <si>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</si>
  <si>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</si>
  <si>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</si>
  <si>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</si>
  <si>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</si>
  <si>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</si>
  <si>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</si>
  <si>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</si>
  <si>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</si>
  <si>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</si>
  <si>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</si>
  <si>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</si>
  <si>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</si>
  <si>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</si>
  <si>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</si>
  <si>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</si>
  <si>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</si>
  <si>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</si>
  <si>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</si>
  <si>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</si>
  <si>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</si>
  <si>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</si>
  <si>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</si>
  <si>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</si>
  <si>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</si>
  <si>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</si>
  <si>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</si>
  <si>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</si>
  <si>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</si>
  <si>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</si>
  <si>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</si>
  <si>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</si>
  <si>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</si>
  <si>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</si>
  <si>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</si>
  <si>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</si>
  <si>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</si>
  <si>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</si>
  <si>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</si>
  <si>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</si>
  <si>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</si>
  <si>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r>
      <t xml:space="preserve">= billed water exported +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consumption)</t>
    </r>
  </si>
  <si>
    <r>
      <t xml:space="preserve">At least 75% of treated water production sources are metered, </t>
    </r>
    <r>
      <rPr>
        <u/>
        <sz val="8"/>
        <rFont val="Arial"/>
        <family val="2"/>
      </rPr>
      <t>or</t>
    </r>
    <r>
      <rPr>
        <sz val="8"/>
        <rFont val="Arial"/>
        <family val="2"/>
      </rPr>
      <t xml:space="preserve"> at least 90% of the source flow is derived from metered sources.  Meter accuracy testing and/or electronic calibration of related instrumentation is conducted annually.  Less than 25% of tested meters are found outside of +/- 6% accuracy.  </t>
    </r>
  </si>
  <si>
    <t>100% of treated water production sources are metered, meter accuracy testing and electronic calibration of related instrumentation is conducted annually, less than 10% of meters are found outside of +/- 6% accuracy</t>
  </si>
  <si>
    <r>
      <t xml:space="preserve">to qualify for 2:
</t>
    </r>
    <r>
      <rPr>
        <sz val="8"/>
        <rFont val="Arial"/>
        <family val="2"/>
      </rPr>
      <t>Organize and launch efforts to collect data for determining volume from own sources</t>
    </r>
  </si>
  <si>
    <r>
      <t xml:space="preserve">to qualify for 4:
</t>
    </r>
    <r>
      <rPr>
        <sz val="8"/>
        <rFont val="Arial"/>
        <family val="2"/>
      </rPr>
      <t>Locate all water production sources on maps and in the field, launch meter accuracy testing for existing meters, begin to install meters on unmetered water production sources and replace any obsolete/defective meters.</t>
    </r>
  </si>
  <si>
    <r>
      <t>to qualify for 6</t>
    </r>
    <r>
      <rPr>
        <sz val="8"/>
        <rFont val="Arial"/>
        <family val="2"/>
      </rPr>
      <t>:
Formalize annual meter accuracy testing for all source meters; specify the frequency of testing.  Complete installation of meters on unmetered water production sources and complete replacement of all obsolete/defective meters.</t>
    </r>
  </si>
  <si>
    <r>
      <t xml:space="preserve">to qualify for 8:
</t>
    </r>
    <r>
      <rPr>
        <sz val="8"/>
        <rFont val="Arial"/>
        <family val="2"/>
      </rPr>
      <t xml:space="preserve">Conduct annual meter accuracy testing and calibration of related instrumentation on all meter installations on a regular basis.  Complete project to install new, or replace defective existing, meters so that entire production meter population is metered.  Repair or replace meters outside of +/- 6% accuracy. </t>
    </r>
  </si>
  <si>
    <r>
      <t xml:space="preserve">to qualify for 10:
</t>
    </r>
    <r>
      <rPr>
        <sz val="8"/>
        <rFont val="Arial"/>
        <family val="2"/>
      </rPr>
      <t xml:space="preserve">Maintain annual meter accuracy testing and calibration of related instrumentation for all meter installations.  Repair or replace meters outside of +/- 3% accuracy.  Investigate new meter technology; pilot one or more replacements with innovative meters in attempt to further improve meter accuracy. </t>
    </r>
  </si>
  <si>
    <r>
      <t>to maintain 10</t>
    </r>
    <r>
      <rPr>
        <sz val="8"/>
        <rFont val="Arial"/>
        <family val="2"/>
      </rPr>
      <t>:
Standardize meter accuracy test frequency to semi-annual, or more frequent, for all meters.  Repair or replace meters outside of +/- 3% accuracy.  Continually investigate/pilot improving metering technology.</t>
    </r>
  </si>
  <si>
    <t xml:space="preserve">Select n/a only if the water utility fails to have meters on its sources of supply </t>
  </si>
  <si>
    <t xml:space="preserve">Inventory information on meters and paper records of measured volumes exist but are incomplete and/or in a very crude condition; data error cannot be determined </t>
  </si>
  <si>
    <t>No automatic datalogging of production volumes; daily readings are scribed on paper records without any accountability controls.  Flows are not balanced across the water distribution system: tank/storage elevation changes are not employed in calculating the "Volume from own sources" component and archived flow data is adjusted only when grossly evident data error occurs.</t>
  </si>
  <si>
    <t>Production meter data is logged automatically in electronic format and reviewed at least on a monthly basis with necessary corrections implemented.  "Volume from own sources" tabulations include estimate of daily changes in tanks/storage facilities.  Meter data is adjusted when gross data errors occur, or occasional meter testing deems this necessary.</t>
  </si>
  <si>
    <t>Continuous production meter data is logged automatically &amp; reviewed each business day.  Data is adjusted to correct gross error from detected meter/instrumentation equipment malfunction and/or results of meter accuracy testing.  Tank/storage facility elevation changes are automatically used in "Volume from own sources" tabulations and data gaps in the archived data are corrected on a daily basis.</t>
  </si>
  <si>
    <t xml:space="preserve">Computerized system (SCADA or similar) automatically balances flows from all sources and storages; results are reviewed each business day.  Tight accountability controls ensure that all data gaps that occur in the archived flow data are quickly detected and corrected. Regular calibrations between SCADA and sources meters ensures minimal data transfer error.  </t>
  </si>
  <si>
    <r>
      <t xml:space="preserve">to qualify for 2:
</t>
    </r>
    <r>
      <rPr>
        <sz val="8"/>
        <rFont val="Arial"/>
        <family val="2"/>
      </rPr>
      <t xml:space="preserve">Develop a plan to restructure recordkeeping system to capture all flow data; set a procedure to review flow data on a daily  basis to detect input errors.  Obtain more reliable information about existing meters by conducting field inspections of meters and related instrumentation, and obtaining manufacturer literature. </t>
    </r>
  </si>
  <si>
    <r>
      <t>to qualify for 4</t>
    </r>
    <r>
      <rPr>
        <sz val="8"/>
        <rFont val="Arial"/>
        <family val="2"/>
      </rPr>
      <t xml:space="preserve">:
Install automatic datalogging equipment on production meters.  Complete installation of level instrumentation at all tanks/storage facilities and include tank level data in automatic calculation routine in a computerized system.  Construct a computerized listing or spreadsheet to archive input volumes, tank/storage volume changes and import/export flows in order to determine the composite "Water Supplied" volume for the distribution system.  Set a procedure to review this data on a monthly basis to detect gross anomalies and data gaps.     </t>
    </r>
  </si>
  <si>
    <r>
      <t>to qualify for 6</t>
    </r>
    <r>
      <rPr>
        <sz val="8"/>
        <rFont val="Arial"/>
        <family val="2"/>
      </rPr>
      <t xml:space="preserve">:
Refine computerized data collection and archive to include hourly production meter data that is reviewed at least on a weekly basis to detect specific data anomalies and gaps.  Use daily net storage change to balance flows in calculating "Water Supplied" volume.   Necessary corrections to data errors are implemented on a weekly basis. </t>
    </r>
  </si>
  <si>
    <r>
      <t>to qualify for 8</t>
    </r>
    <r>
      <rPr>
        <sz val="8"/>
        <rFont val="Arial"/>
        <family val="2"/>
      </rPr>
      <t xml:space="preserve">:
Ensure that all flow data is collected and archived on at least an hourly basis.  All data is reviewed and detected errors corrected each business day.  Tank/storage levels variations are employed in calculating balanced "Water Supplied" component.  Adjust production meter data for gross error and inaccuracy confirmed by testing. </t>
    </r>
  </si>
  <si>
    <r>
      <t>to qualify for 10</t>
    </r>
    <r>
      <rPr>
        <sz val="8"/>
        <rFont val="Arial"/>
        <family val="2"/>
      </rPr>
      <t>:
Link all production and tank/storage facility elevation change data to a Supervisory Control &amp; Data Acquisition (SCADA) System, or similar computerized monitoring/control system, and establish automatic flow balancing algorithm and regularly calibrate between SCADA and source meters.  Data is reviewed and corrected each business day.</t>
    </r>
  </si>
  <si>
    <t>50% - 75% of imported water sources are metered, other sources estimated.  Occasional meter accuracy testing conducted.</t>
  </si>
  <si>
    <t xml:space="preserve">At least 75% of imported water sources are metered, meter accuracy testing and/or electronic calibration of related instrumentation is conducted annually for all meter installations.  Less than 25% of tested meters are found outside of +/- 6% accuracy.  </t>
  </si>
  <si>
    <t>100% of imported water sources are metered, meter accuracy testing and electronic calibration of related instrumentation is conducted annually, less than 10% of meters are found outside of +/- 6% accuracy</t>
  </si>
  <si>
    <t xml:space="preserve">100% of imported water sources are metered, meter accuracy testing and electronic calibration of related instrumentation is conducted semi-annually for all meter installations, with less than 10% of accuracy tests found outside of +/- 3% accuracy.     </t>
  </si>
  <si>
    <r>
      <t xml:space="preserve">to qualify for 2:
</t>
    </r>
    <r>
      <rPr>
        <sz val="8"/>
        <rFont val="Arial"/>
        <family val="2"/>
      </rPr>
      <t xml:space="preserve">Review bulk water purchase agreements with partner suppliers; confirm requirements for use and maintenance of accurate metering.  Identify needs for new or replacement meters with goal to meter all imported water sources. </t>
    </r>
  </si>
  <si>
    <r>
      <t>To qualify for 4</t>
    </r>
    <r>
      <rPr>
        <sz val="8"/>
        <rFont val="Arial"/>
        <family val="2"/>
      </rPr>
      <t xml:space="preserve">:
Locate all imported water sources on maps and in the field, launch meter accuracy testing for existing meters, begin to install meters on unmetered imported water interconnections and replace obsolete/defective meters. </t>
    </r>
  </si>
  <si>
    <r>
      <t>to qualify for 6</t>
    </r>
    <r>
      <rPr>
        <sz val="8"/>
        <rFont val="Arial"/>
        <family val="2"/>
      </rPr>
      <t>:
Formalize annual meter accuracy testing for all imported water meters, planning for both regular meter accuracy testing and calibration of the related instrumentation.  Continue installation of meters on unmetered imported water interconnections and replacement of obsolete/defective meters.</t>
    </r>
  </si>
  <si>
    <r>
      <t>to qualify for 8</t>
    </r>
    <r>
      <rPr>
        <sz val="8"/>
        <rFont val="Arial"/>
        <family val="2"/>
      </rPr>
      <t>:
Complete project to install new, or replace defective, meters on all imported water interconnections.  Maintain annual meter accuracy testing for all imported water meters and conduct calibration of related instrumentation at least annually.  Repair or replace meters outside of +/- 6% accuracy.</t>
    </r>
  </si>
  <si>
    <r>
      <t xml:space="preserve">to qualify for 10:
</t>
    </r>
    <r>
      <rPr>
        <sz val="8"/>
        <rFont val="Arial"/>
        <family val="2"/>
      </rPr>
      <t xml:space="preserve">Conduct meter accuracy testing for all meters on a semi-annual basis, along with calibration of all related instrumentation.  Repair or replace meters outside of +/- 3% accuracy.  Investigate new meter technology; pilot one or more replacements with innovative meters in attempt to improve meter accuracy. </t>
    </r>
  </si>
  <si>
    <r>
      <t>to maintain 10</t>
    </r>
    <r>
      <rPr>
        <sz val="8"/>
        <rFont val="Arial"/>
        <family val="2"/>
      </rPr>
      <t>:
Standardize meter accuracy test frequency to semi-annual, or more frequent, for all meters.  Continue to conduct calibration of related instrumentation on a semi-annual basis.  Repair or replace meters outside of +/- 3% accuracy.  Continually investigate/pilot improving metering technology.</t>
    </r>
  </si>
  <si>
    <t>Water imported meter error adjustment:</t>
  </si>
  <si>
    <t>No automatic datalogging of imported supply volumes; daily readings are scribed on paper records without any accountability controls to confirm data accuracy and the absence of errors and data gaps in recorded volumes.  Written agreement requires meter accuracy testing but is vague on the details of how and who conducts the testing.</t>
  </si>
  <si>
    <r>
      <t>to qualify for 6</t>
    </r>
    <r>
      <rPr>
        <sz val="8"/>
        <rFont val="Arial"/>
        <family val="2"/>
      </rPr>
      <t xml:space="preserve">:
Refine computerized data collection and archive to include hourly Imported supply metered flow data that is reviewed at least on a weekly basis to detect specific data anomalies and gaps.  Make necessary corrections to errors/data errors on a weekly basis. </t>
    </r>
  </si>
  <si>
    <r>
      <t>to qualify for 8</t>
    </r>
    <r>
      <rPr>
        <sz val="8"/>
        <rFont val="Arial"/>
        <family val="2"/>
      </rPr>
      <t xml:space="preserve">:
Ensure that all Imported supply metered flow data is collected and archived on at least an hourly basis.  All data is reviewed and errors/data gaps are corrected each business day.   </t>
    </r>
  </si>
  <si>
    <t>50% - 75% of exported water sources are metered, other sources estimated.  Occasional meter accuracy testing conducted.</t>
  </si>
  <si>
    <t>100% of exported water sources are metered, meter accuracy testing and electronic calibration of related instrumentation is conducted annually, less than 10% of meters are found outside of +/- 6% accuracy</t>
  </si>
  <si>
    <t xml:space="preserve">100% of exported water sources are metered, meter accuracy testing and electronic calibration of related instrumentation is conducted semi-annually for all meter installations, with less than 10% of accuracy tests found outside of +/- 3% accuracy.     </t>
  </si>
  <si>
    <r>
      <t xml:space="preserve">to qualify for 2:
</t>
    </r>
    <r>
      <rPr>
        <sz val="8"/>
        <rFont val="Arial"/>
        <family val="2"/>
      </rPr>
      <t xml:space="preserve">Review bulk water sales agreements with purchasing utilities; confirm requirements for use &amp; upkeep of accurate metering.  Identify needs to install new, or replace defective meters as needed. </t>
    </r>
  </si>
  <si>
    <r>
      <t>To qualify for 4</t>
    </r>
    <r>
      <rPr>
        <sz val="8"/>
        <rFont val="Arial"/>
        <family val="2"/>
      </rPr>
      <t xml:space="preserve">:
Locate all exported water sources on maps and in field, launch meter accuracy testing for existing meters, begin to install meters on unmetered exported water interconnections and replace obsolete/defective meters </t>
    </r>
  </si>
  <si>
    <r>
      <t>to qualify for 6</t>
    </r>
    <r>
      <rPr>
        <sz val="8"/>
        <rFont val="Arial"/>
        <family val="2"/>
      </rPr>
      <t>:
Formalize annual meter accuracy testing for all exported water meters.  Continue installation of meters on unmetered exported water interconnections and replacement of obsolete/defective meters.</t>
    </r>
  </si>
  <si>
    <r>
      <t>to qualify for 8</t>
    </r>
    <r>
      <rPr>
        <sz val="8"/>
        <rFont val="Arial"/>
        <family val="2"/>
      </rPr>
      <t>:
Complete project to install new, or replace defective, meters on all exported water interconnections.  Maintain annual meter accuracy testing for all exported water meters.  Repair or replace meters outside of +/- 6% accuracy.</t>
    </r>
  </si>
  <si>
    <t>Water exported meter error adjustment:</t>
  </si>
  <si>
    <t xml:space="preserve">Select n/a only if the water utility fails to have meters on its exported supply interconnections. </t>
  </si>
  <si>
    <t xml:space="preserve">Inventory information on exported meters and paper records of measured volumes exist but are incomplete and/or in a very crude condition; data error cannot be determined   Written agreement(s) with the utility purchasing the water are missing or written in vague language concerning meter management and testing. </t>
  </si>
  <si>
    <t>No automatic datalogging of exported supply volumes; daily readings are scribed on paper records without any accountability controls to confirm data accuracy and the absence of errors and data gaps in recorded volumes.  Written agreement requires meter accuracy testing but is vague on the details of how and who conducts the testing.</t>
  </si>
  <si>
    <t xml:space="preserve">Exported metered flow data is logged automatically in electronic format and reviewed at least on a monthly basis, with necessary corrections implemented.  Meter data is adjusted by the utility selling (exporting) the water when gross data errors are detected.  A coherent data trail exists for this process to protect both the utility exporting the water and the purchasing Utility.  Written agreement exists and clearly states requirements and roles for meter accuracy testing and data management. </t>
  </si>
  <si>
    <t xml:space="preserve">Hourly exported supply metered data is logged automatically &amp; reviewed on at least a weekly basis by the utility selling the water.  Data is adjusted to correct gross error when meter/instrumentation equipment malfunction is detected; and to correct for error found by meter accuracy testing.  Any data gaps in the archived data are detected and corrected during the weekly review.  A coherent data trail exists for this process to protect both the selling (exporting) utility and the purchasing Utility.    </t>
  </si>
  <si>
    <r>
      <t xml:space="preserve">to qualify for 2:
</t>
    </r>
    <r>
      <rPr>
        <sz val="8"/>
        <rFont val="Arial"/>
        <family val="2"/>
      </rPr>
      <t>Develop a plan to restructure recordkeeping system to capture all flow data; set a procedure to review flow data on a daily  basis to detect input errors.  Obtain more reliable information about existing meters by conducting field inspections of meters and related instrumentation, and obtaining manufacturer literature.  Review the written agreement between the utility selling (exporting) the water and the purchasing Utility.</t>
    </r>
  </si>
  <si>
    <r>
      <t>to qualify for 4</t>
    </r>
    <r>
      <rPr>
        <sz val="8"/>
        <rFont val="Arial"/>
        <family val="2"/>
      </rPr>
      <t xml:space="preserve">:
Install automatic datalogging equipment on exported supply meters.  Set a procedure to review this data on a monthly basis to detect gross anomalies and data gaps.  Launch discussions with the purchasing utilities to jointly review terms of the written agreements regarding meter accuracy testing and data management; revise the terms as necessary.      </t>
    </r>
  </si>
  <si>
    <r>
      <t>to qualify for 6</t>
    </r>
    <r>
      <rPr>
        <sz val="8"/>
        <rFont val="Arial"/>
        <family val="2"/>
      </rPr>
      <t xml:space="preserve">:
Refine computerized data collection and archive to include hourly exported supply metered flow data that is reviewed at least on a weekly basis to detect specific data anomalies and gaps.  Make necessary corrections to errors/data errors on a weekly basis. </t>
    </r>
  </si>
  <si>
    <r>
      <t>to qualify for 8</t>
    </r>
    <r>
      <rPr>
        <sz val="8"/>
        <rFont val="Arial"/>
        <family val="2"/>
      </rPr>
      <t xml:space="preserve">:
Ensure that all exported metered flow data is collected and archived on at least an hourly basis.  All data is reviewed and errors/data gaps are corrected each business day.   </t>
    </r>
  </si>
  <si>
    <r>
      <t>to qualify for 10</t>
    </r>
    <r>
      <rPr>
        <sz val="8"/>
        <rFont val="Arial"/>
        <family val="2"/>
      </rPr>
      <t xml:space="preserve">:
Conduct accountability checks to confirm that all exported metered flow data is reviewed and corrected each business day by the utility selling the water.  Results of all meter accuracy tests and data corrections should be available for sharing between the utility and the purchasing Utility.  Establish a schedule for a regular review and updating of the contractual language in the written agreements with the purchasing utilities; at least every five years. </t>
    </r>
  </si>
  <si>
    <r>
      <t>to maintain 10</t>
    </r>
    <r>
      <rPr>
        <sz val="8"/>
        <rFont val="Arial"/>
        <family val="2"/>
      </rPr>
      <t xml:space="preserve">:
Monitor meter innovations for development of more accurate and less expensive flowmeters; work with the purchasing utilities to help identify meter replacement needs.  Keep communication lines with the purchasing utilities open and maintain productive relations.  Keep the written agreement current with clear and explicit language that meets the ongoing needs of all parties. </t>
    </r>
  </si>
  <si>
    <t>Less than 50% of customers with volume-based billings from meter readings; flat or fixed rate billing exists for the majority of the customer population</t>
  </si>
  <si>
    <t>At least 75% of customers with volume-based, billing from meter reads; flat or fixed rate billing for remaining accounts.  Manual meter reading is conducted with at least 50% meter read success rate; consumption for accounts with failed reads is estimated.  Purchase records verify age of customer meters; only very limited meter accuracy testing is conducted.  Customer meters are replaced only upon complete failure.  Computerized billing records exist, but only sporadic internal auditing conducted.</t>
  </si>
  <si>
    <r>
      <t>to qualify for 2</t>
    </r>
    <r>
      <rPr>
        <sz val="8"/>
        <rFont val="Arial"/>
        <family val="2"/>
      </rPr>
      <t>:
Conduct investigations or trials of customer meters to select appropriate meter models.  Budget funding for meter installations.  Investigate volume based water rate structures.</t>
    </r>
  </si>
  <si>
    <r>
      <t>to qualify for 4</t>
    </r>
    <r>
      <rPr>
        <sz val="8"/>
        <rFont val="Arial"/>
        <family val="2"/>
      </rPr>
      <t xml:space="preserve">:
Purchase and install meters on unmetered accounts.  Implement policies to improve meter reading success.  Catalog meter information during meter read visits to identify age/model of existing meters.  Test a minimal number of meters for accuracy.  Install computerized billing system. </t>
    </r>
  </si>
  <si>
    <r>
      <t>to qualify for 6</t>
    </r>
    <r>
      <rPr>
        <sz val="8"/>
        <rFont val="Arial"/>
        <family val="2"/>
      </rPr>
      <t xml:space="preserve">:
Purchase and install meters on unmetered accounts.  Eliminate flat fee billing and establish appropriate water rate structure based upon measured consumption.  Continue to achieve verifiable success in removing manual meter reading barriers. Expand meter accuracy testing.  Launch regular meter replacement program.  Launch a program of annual auditing of global billing statistics by utility personnel. </t>
    </r>
  </si>
  <si>
    <r>
      <t>to qualify for 8</t>
    </r>
    <r>
      <rPr>
        <sz val="8"/>
        <rFont val="Arial"/>
        <family val="2"/>
      </rPr>
      <t xml:space="preserve">:
Purchase and install meters on unmetered accounts.  If customer meter reading success rate is less than 97%, assess cost-effectiveness of Automatic Meter Reading (AMR) or Advanced Metering Infrastructure (AMI) system for portion or entire system; </t>
    </r>
    <r>
      <rPr>
        <u/>
        <sz val="8"/>
        <rFont val="Arial"/>
        <family val="2"/>
      </rPr>
      <t>or</t>
    </r>
    <r>
      <rPr>
        <sz val="8"/>
        <rFont val="Arial"/>
        <family val="2"/>
      </rPr>
      <t xml:space="preserve"> otherwise achieve ongoing improvements in manual meter reading success rate to 97% or higher.  Refine meter accuracy testing program.  Set meter replacement goals based upon accuracy test results.  Implement annual auditing of detailed billing records by utility personnel and implement third party auditing at least once every five years. </t>
    </r>
  </si>
  <si>
    <r>
      <t>to qualify for 10</t>
    </r>
    <r>
      <rPr>
        <sz val="8"/>
        <rFont val="Arial"/>
        <family val="2"/>
      </rPr>
      <t xml:space="preserve">:
Purchase and install meters on unmetered accounts.  Launch Automatic Meter Reading (AMR) or Advanced Metering Infrastructure (AMI) system trials if manual meter reading success rate of at least 99% is not achieved within a five-year program.  Continue meter accuracy testing program.  Conduct planning and budgeting for large scale meter replacement based upon meter life cycle analysis using cumulative flow target.  Continue annual detailed billing data auditing by utility personnel and conduct third party auditing at least once every three years.   </t>
    </r>
  </si>
  <si>
    <r>
      <t>to maintain 10</t>
    </r>
    <r>
      <rPr>
        <sz val="8"/>
        <rFont val="Arial"/>
        <family val="2"/>
      </rPr>
      <t>:
Continue annual internal billing data auditing, and third party auditing at least every three years.  Continue customer meter accuracy testing to ensure that accurate customer meter readings are obtained and entered as the basis for volume based billing.  Stay abreast of improvements in Automatic Meter Reading (AMR) and Advanced Metering Infrastructure (AMI) and information management.  Plan and budget for justified upgrades in metering, meter reading and billing data management to maintain very high accuracy in customer metering and billing.</t>
    </r>
  </si>
  <si>
    <t>Select n/a if it is the policy of the water utility to meter all customer connections and it has been confirmed by detailed auditing that all customers do indeed have a water meter; i.e. no intentionally unmetered accounts exist</t>
  </si>
  <si>
    <r>
      <t xml:space="preserve">Water utility policy does </t>
    </r>
    <r>
      <rPr>
        <u/>
        <sz val="8"/>
        <rFont val="Arial"/>
        <family val="2"/>
      </rPr>
      <t>not</t>
    </r>
    <r>
      <rPr>
        <sz val="8"/>
        <rFont val="Arial"/>
        <family val="2"/>
      </rPr>
      <t xml:space="preserve"> require customer metering; flat or fixed fee billing is employed.  No data is collected on customer consumption.  The only estimates of customer population consumption available are derived from data estimation methods using average fixture count multiplied by number of connections, or similar approach.</t>
    </r>
  </si>
  <si>
    <r>
      <t xml:space="preserve">Water utility policy does </t>
    </r>
    <r>
      <rPr>
        <u/>
        <sz val="8"/>
        <rFont val="Arial"/>
        <family val="2"/>
      </rPr>
      <t>not</t>
    </r>
    <r>
      <rPr>
        <sz val="8"/>
        <rFont val="Arial"/>
        <family val="2"/>
      </rPr>
      <t xml:space="preserve"> require customer metering; flat or fixed fee billing is employed.  Some metered accounts exist in parts of the system (pilot areas or District Metered Areas) with consumption read periodically or recorded on portable dataloggers over one, three, or seven day periods.  Data from these sample meters are used to infer consumption for the total customer population.  Site specific estimation methods are used for unusual buildings/water uses.  </t>
    </r>
  </si>
  <si>
    <r>
      <t xml:space="preserve">Water utility policy </t>
    </r>
    <r>
      <rPr>
        <u/>
        <sz val="8"/>
        <rFont val="Arial"/>
        <family val="2"/>
      </rPr>
      <t>does</t>
    </r>
    <r>
      <rPr>
        <sz val="8"/>
        <rFont val="Arial"/>
        <family val="2"/>
      </rPr>
      <t xml:space="preserve"> require metering and volume based billing but established exemptions exist for a portion of accounts such as municipal buildings.  As many as 15% of billed accounts are unmetered due to this exemption or meter installation difficulties.  Only a group estimate of annual consumption for all unmetered accounts is included in the annual water audit, with no inspection of individual unmetered accounts.</t>
    </r>
  </si>
  <si>
    <r>
      <t xml:space="preserve">Water utility policy </t>
    </r>
    <r>
      <rPr>
        <u/>
        <sz val="8"/>
        <rFont val="Arial"/>
        <family val="2"/>
      </rPr>
      <t>does</t>
    </r>
    <r>
      <rPr>
        <sz val="8"/>
        <rFont val="Arial"/>
        <family val="2"/>
      </rPr>
      <t xml:space="preserve"> require metering and volume based billing for all customer accounts.  However, less than 5% of billed accounts remain unmetered because meter  installation is hindered by unusual circumstances.  The goal is to minimize the number of unmetered accounts.  Reliable estimates of consumption are obtained for these unmetered accounts via site specific estimation methods.</t>
    </r>
  </si>
  <si>
    <r>
      <t xml:space="preserve">Water utility policy </t>
    </r>
    <r>
      <rPr>
        <u/>
        <sz val="8"/>
        <rFont val="Arial"/>
        <family val="2"/>
      </rPr>
      <t>does</t>
    </r>
    <r>
      <rPr>
        <sz val="8"/>
        <rFont val="Arial"/>
        <family val="2"/>
      </rPr>
      <t xml:space="preserve"> require metering and volume based billing for all customer accounts.  Less than 2% of billed accounts are unmetered and exist because meter installation is hindered by unusual circumstances.  The goal exists to minimize the number of unmetered accounts to the extent that is economical.  Reliable estimates of consumption are obtained at these accounts via site specific estimation methods.</t>
    </r>
  </si>
  <si>
    <r>
      <t>to qualify for 2</t>
    </r>
    <r>
      <rPr>
        <sz val="8"/>
        <rFont val="Arial"/>
        <family val="2"/>
      </rPr>
      <t>: 
Conduct research and evaluate cost/benefit of a new water utility policy to require metering of the customer population; thereby greatly reducing or eliminating unmetered accounts.  Conduct pilot metering project by installing water meters in small sample of customer accounts and periodically reading the meters or datalogging the water consumption over one, three, or seven day periods.</t>
    </r>
  </si>
  <si>
    <r>
      <t>to qualify for 4</t>
    </r>
    <r>
      <rPr>
        <sz val="8"/>
        <rFont val="Arial"/>
        <family val="2"/>
      </rPr>
      <t xml:space="preserve">: 
Implement a new water utility policy requiring customer metering.  Launch or expand pilot metering study to include several different meter types, which will provide data for economic assessment of full scale metering options.  Assess sites with access difficulties to devise means to obtain water consumption volumes.  Begin customer meter installation. </t>
    </r>
  </si>
  <si>
    <r>
      <t>to qualify for 6</t>
    </r>
    <r>
      <rPr>
        <sz val="8"/>
        <rFont val="Arial"/>
        <family val="2"/>
      </rPr>
      <t>:
Refine policy and procedures to improve customer metering participation for all but solidly exempt accounts.  Assign staff resources to review billing records to identify errant unmetered properties.  Specify metering needs and funding requirements to install sufficient meters to significant reduce the number of unmetered accounts</t>
    </r>
  </si>
  <si>
    <r>
      <t>to qualify for 8</t>
    </r>
    <r>
      <rPr>
        <sz val="8"/>
        <rFont val="Arial"/>
        <family val="2"/>
      </rPr>
      <t>:
Push to install customer meters on a full scale basis.  Refine metering policy and procedures to ensure that all accounts, including municipal properties, are designated for meters.  Plan special efforts to address "hard-to-access" accounts.  Implement procedures to obtain a reliable consumption estimate for the remaining few unmetered accounts awaiting meter installation.</t>
    </r>
  </si>
  <si>
    <r>
      <t>to qualify for 10</t>
    </r>
    <r>
      <rPr>
        <sz val="8"/>
        <rFont val="Arial"/>
        <family val="2"/>
      </rPr>
      <t>:
Continue customer meter installation throughout the service area, with a goal to minimize unmetered accounts.  Sustain the effort to investigate accounts with access difficulties, and devise means to install water meters or otherwise measure water consumption.</t>
    </r>
  </si>
  <si>
    <r>
      <t>to maintain 10</t>
    </r>
    <r>
      <rPr>
        <sz val="8"/>
        <rFont val="Arial"/>
        <family val="2"/>
      </rPr>
      <t>: 
Continue to refine estimation methods for unmetered consumption and explore means to establish metering, for as many billed remaining unmetered accounts as is economically feasible.</t>
    </r>
  </si>
  <si>
    <r>
      <t>to qualify for 2</t>
    </r>
    <r>
      <rPr>
        <sz val="8"/>
        <rFont val="Arial"/>
        <family val="2"/>
      </rPr>
      <t xml:space="preserve">:
Reassess the water utility's policy allowing certain accounts to be granted a billing exemption.  Draft an outline of a new written policy for billing exemptions, with clear justification as to why any accounts should be exempt from billing, and with the intention to keep the number of such accounts to a minimum.   </t>
    </r>
  </si>
  <si>
    <r>
      <t>to qualify for 4</t>
    </r>
    <r>
      <rPr>
        <sz val="8"/>
        <rFont val="Arial"/>
        <family val="2"/>
      </rPr>
      <t xml:space="preserve">:
Review historic written directives and policy documents allowing certain accounts to be billing-exempt.  Draft an outline of a written policy for billing exemptions, identify criteria that grants an exemption, with a goal of keeping this number of accounts to a minimum.  Consider increasing the priority of reading meters on unbilled accounts at least annually.  </t>
    </r>
  </si>
  <si>
    <r>
      <t>to qualify for 6</t>
    </r>
    <r>
      <rPr>
        <sz val="8"/>
        <rFont val="Arial"/>
        <family val="2"/>
      </rPr>
      <t xml:space="preserve">:
Draft a new written policy regarding billing exemptions based upon consensus criteria allowing this occurrence.  Assign resources to audit meter records and billing records to obtain census of unbilled metered accounts.  Gradually include a greater number of these metered accounts to the routes for regular meter reading.    </t>
    </r>
  </si>
  <si>
    <r>
      <t>to qualify for 8</t>
    </r>
    <r>
      <rPr>
        <sz val="8"/>
        <rFont val="Arial"/>
        <family val="2"/>
      </rPr>
      <t xml:space="preserve">:
Communicate billing exemption policy throughout the organization and implement procedures that ensure proper account management.  Conduct inspections of accounts confirmed in unbilled metered status and verify that accurate meters exist and are scheduled for routine meter readings.  Gradually increase the number of unbilled metered accounts that are included in regular meter reading routes. </t>
    </r>
  </si>
  <si>
    <r>
      <t>to qualify for 10</t>
    </r>
    <r>
      <rPr>
        <sz val="8"/>
        <rFont val="Arial"/>
        <family val="2"/>
      </rPr>
      <t>:
Ensure that meter management (meter accuracy testing, meter replacement) and meter reading activities for unbilled accounts are accorded the same priority as billed accounts.  Establish ongoing annual auditing process to ensure that water consumption is reliably collected and provided to the annual water audit process.</t>
    </r>
  </si>
  <si>
    <r>
      <t>to maintain 10</t>
    </r>
    <r>
      <rPr>
        <sz val="8"/>
        <rFont val="Arial"/>
        <family val="2"/>
      </rPr>
      <t>:
Reassess the utility's philosophy in allowing any water uses to go "unbilled".  It is possible to meter and bill all accounts, even if the fee charged for water consumption is discounted or waived.  Metering and billing all accounts ensures that water consumption is tracked and water waste from plumbing leaks is detected and minimized.</t>
    </r>
  </si>
  <si>
    <t xml:space="preserve">Extent of unbilled, unmetered consumption is partially known, and procedures exist to document certain events such as miscellaneous fire hydrant uses.  Formulae is used to quantify the consumption from such events (time running multiplied by typical flowrate, multiplied by number of  events).  </t>
  </si>
  <si>
    <t>Clear policies and good recordkeeping exist for some uses (ex: water used in periodic testing of unmetered fire connections), but other uses (ex: miscellaneous uses of fire hydrants) have limited oversight.  Total consumption is a mix of well quantified use such as from formulae (time running multiplied by typical flow, multiplied by number of events) or temporary meters, and relatively subjective estimates of less regulated use.</t>
  </si>
  <si>
    <t>Clear policies exist to identify permitted use of water in unbilled, unmetered fashion, with the intention of minimizing this type of consumption.  Good records document each occurrence and consumption is quantified via formulae (time running multiplied by typical flow, multiplied by number of events) or use of temporary meters.</t>
  </si>
  <si>
    <r>
      <t>to qualify for 5</t>
    </r>
    <r>
      <rPr>
        <sz val="8"/>
        <rFont val="Arial"/>
        <family val="2"/>
      </rPr>
      <t xml:space="preserve">:
Utilize accepted default value of 1.25% of the volume of water supplied as an expedient means to gain a reasonable quantification of this use.    
</t>
    </r>
    <r>
      <rPr>
        <u/>
        <sz val="8"/>
        <rFont val="Arial"/>
        <family val="2"/>
      </rPr>
      <t>to qualify for 4</t>
    </r>
    <r>
      <rPr>
        <sz val="8"/>
        <rFont val="Arial"/>
        <family val="2"/>
      </rPr>
      <t xml:space="preserve">:
Evaluate the documentation of events that have been observed.  Meet with user groups (ex: for fire hydrants - fire departments, contractors to ascertain their need and/or volume requirements for water from fire hydrants).  </t>
    </r>
  </si>
  <si>
    <r>
      <t>to qualify for 6 or greater</t>
    </r>
    <r>
      <rPr>
        <sz val="8"/>
        <rFont val="Arial"/>
        <family val="2"/>
      </rPr>
      <t>:
Finalize policy and begin to conduct field checks to better establish and quantify such usage.  Proceed if top-down audit exists and/or a great volume of such use is suspected.</t>
    </r>
  </si>
  <si>
    <r>
      <t>to qualify for 8</t>
    </r>
    <r>
      <rPr>
        <sz val="8"/>
        <rFont val="Arial"/>
        <family val="2"/>
      </rPr>
      <t xml:space="preserve">:
Assess water utility policy and procedures for various unmetered usages.  For example, ensure that a policy exists and permits are issued for use of fire hydrants by persons outside of the utility.  Create written procedures for use and documentation of fire hydrants by water utility personnel.  Use same approach for other types of unbilled, unmetered water usage. </t>
    </r>
  </si>
  <si>
    <r>
      <t>to qualify for 10</t>
    </r>
    <r>
      <rPr>
        <sz val="8"/>
        <rFont val="Arial"/>
        <family val="2"/>
      </rPr>
      <t>:
Refine written procedures to ensure that all uses of unbilled, unmetered water are overseen by a structured permitting process managed by water utility personnel.  Reassess policy to determine if some of these uses have value in being converted to billed and/or metered status.</t>
    </r>
  </si>
  <si>
    <r>
      <t>to maintain 10</t>
    </r>
    <r>
      <rPr>
        <sz val="8"/>
        <rFont val="Arial"/>
        <family val="2"/>
      </rPr>
      <t>:
Continue to refine policy and procedures with intention of reducing the number of allowable uses of water in unbilled and unmetered fashion.  Any uses that can feasibly become billed and metered should be converted eventually.</t>
    </r>
  </si>
  <si>
    <t xml:space="preserve">Procedures exist to document some unauthorized consumption such as observed unauthorized fire hydrant openings.  Use formulae to quantify this consumption (time running multiplied typical flowrate, multiplied by number of  events).  </t>
  </si>
  <si>
    <t>Default value of 0.25% of volume of water supplied is employed</t>
  </si>
  <si>
    <t xml:space="preserve">Coherent policies exist for some forms of unauthorized consumption (more than simply fire hydrant misuse) but others await closer evaluation. Reasonable surveillance and recordkeeping exist for occurrences that fall under the policy.  Volumes quantified by inference from these records. </t>
  </si>
  <si>
    <t>Clear policies and good auditable recordkeeping exist for certain events (ex: tampering with water meters, illegal bypasses of customer meters); but other occurrences have limited oversight.  Total consumption is a combination of volumes from formulae (time x typical flow) and subjective estimates of unconfirmed consumption.</t>
  </si>
  <si>
    <r>
      <t>to qualify for 5</t>
    </r>
    <r>
      <rPr>
        <sz val="8"/>
        <rFont val="Arial"/>
        <family val="2"/>
      </rPr>
      <t xml:space="preserve">:
Use accepted default of 0.25% of volume of water supplied.
</t>
    </r>
    <r>
      <rPr>
        <u/>
        <sz val="8"/>
        <rFont val="Arial"/>
        <family val="2"/>
      </rPr>
      <t>to qualify for 2</t>
    </r>
    <r>
      <rPr>
        <sz val="8"/>
        <rFont val="Arial"/>
        <family val="2"/>
      </rPr>
      <t>:
Review utility policy regarding what water uses are considered unauthorized, and consider tracking a small sample of one such occurrence (ex: unauthorized fire hydrant openings)</t>
    </r>
  </si>
  <si>
    <r>
      <t>to qualify for 5</t>
    </r>
    <r>
      <rPr>
        <sz val="8"/>
        <rFont val="Arial"/>
        <family val="2"/>
      </rPr>
      <t xml:space="preserve">:
Use accepted default of 0.25% of system input volume
</t>
    </r>
    <r>
      <rPr>
        <u/>
        <sz val="8"/>
        <rFont val="Arial"/>
        <family val="2"/>
      </rPr>
      <t>to qualify for 4</t>
    </r>
    <r>
      <rPr>
        <sz val="8"/>
        <rFont val="Arial"/>
        <family val="2"/>
      </rPr>
      <t>:
Review utility policy regarding what water uses are considered unauthorized, and consider tracking a small sample of one such occurrence (ex: unauthorized fire hydrant openings)</t>
    </r>
  </si>
  <si>
    <r>
      <t>to qualify for 5</t>
    </r>
    <r>
      <rPr>
        <sz val="8"/>
        <rFont val="Arial"/>
        <family val="2"/>
      </rPr>
      <t>:
Utilize accepted default value of 0.25% of volume of water supplied as an expedient means to gain a reasonable quantification of all such use.  This is particularly appropriate for water utilities who are in the early stages of the water auditing process.</t>
    </r>
  </si>
  <si>
    <r>
      <t>to qualify for 6 or greater</t>
    </r>
    <r>
      <rPr>
        <sz val="8"/>
        <rFont val="Arial"/>
        <family val="2"/>
      </rPr>
      <t>:
Finalize policy updates to clearly identify the types of water consumption that are authorized from those usages that fall outside of this policy and are, therefore, unauthorized.  Begin to conduct regular field checks.  Proceed if the top-down audit already exists and/or a great volume of such use is suspected.</t>
    </r>
  </si>
  <si>
    <r>
      <t>to quality for 8</t>
    </r>
    <r>
      <rPr>
        <sz val="8"/>
        <rFont val="Arial"/>
        <family val="2"/>
      </rPr>
      <t xml:space="preserve">:
Assess water utility policies to ensure that all known occurrences of unauthorized consumption are outlawed, and that appropriate penalties are prescribed.  Create written procedures for detection and documentation of various occurrences of unauthorized consumption as they are uncovered.   </t>
    </r>
  </si>
  <si>
    <r>
      <t>to qualify for 10</t>
    </r>
    <r>
      <rPr>
        <sz val="8"/>
        <rFont val="Arial"/>
        <family val="2"/>
      </rPr>
      <t xml:space="preserve">:
Refine written procedures and assign staff to seek out likely occurrences of unauthorized consumption.  Explore new locking devices, monitors and other technologies designed to detect and thwart unauthorized consumption. </t>
    </r>
  </si>
  <si>
    <r>
      <t>to maintain 10</t>
    </r>
    <r>
      <rPr>
        <sz val="8"/>
        <rFont val="Arial"/>
        <family val="2"/>
      </rPr>
      <t xml:space="preserve">:
Continue to refine policy and procedures to eliminate any loopholes that allow or tacitly encourage unauthorized consumption.  Continue to be vigilant in detection, documentation and enforcement efforts.  </t>
    </r>
  </si>
  <si>
    <t>Customer meters exist, but with unorganized paper records on meters; no meter accuracy testing or meter replacement program for any size of retail meter.  Metering workflow is driven chaotically with no proactive management.  Loss volume due to aggregate meter inaccuracy is guesstimated.</t>
  </si>
  <si>
    <t>Poor recordkeeping and meter oversight is recognized by water utility management who has allotted staff and funding resources to organize improved recordkeeping and start meter accuracy testing.  Existing paper records gathered and organized to provide cursory disposition of meter population.  Customer meters are tested for accuracy only upon customer request.</t>
  </si>
  <si>
    <t>Reliable recordkeeping exists; meter information is improving as meters are replaced.    Meter accuracy testing is conducted annually for a small number of meters (more than just customer requests, but less than 1% of inventory).  A limited number of the oldest meters are replaced each year.  Inaccuracy volume is largely an estimate, but refined based upon limited testing data.</t>
  </si>
  <si>
    <t>A reliable electronic recordkeeping system for meters exists.  The meter population includes a mix of new high performing meters and dated meters with suspect accuracy.  Routine, but limited, meter accuracy testing and meter replacement occur.  Inaccuracy volume is quantified using a mix of reliable and less certain data.</t>
  </si>
  <si>
    <t xml:space="preserve">Ongoing meter replacement and accuracy testing result in highly accurate customer meter population.  Testing is conducted on samples of meters of varying age and accumulated volume of throughput to determine optimum replacement time for various types of meters.  </t>
  </si>
  <si>
    <t>Ongoing meter replacement and accuracy testing result in highly accurate customer meter population.  Statistically significant number of meters are tested in audit year.  This testing is conducted on samples of meters of varying age and accumulated volume of throughput to determine optimum replacement time for these meters.</t>
  </si>
  <si>
    <r>
      <t>to qualify for 2</t>
    </r>
    <r>
      <rPr>
        <sz val="8"/>
        <rFont val="Arial"/>
        <family val="2"/>
      </rPr>
      <t>:
Gather available meter purchase records.  Conduct testing on a small number of meters believed to be the most inaccurate.  Review staffing needs of the metering group and budget for necessary resources to better organize meter management.</t>
    </r>
  </si>
  <si>
    <r>
      <t>to qualify for 4</t>
    </r>
    <r>
      <rPr>
        <sz val="8"/>
        <rFont val="Arial"/>
        <family val="2"/>
      </rPr>
      <t>:
Implement a reliable record keeping system for customer meter histories, preferably using electronic methods typically linked to, or part of, the Customer Billing System or Customer Information System.  Expand meter accuracy testing to a larger group of meters.</t>
    </r>
  </si>
  <si>
    <r>
      <t>to qualify for 6</t>
    </r>
    <r>
      <rPr>
        <sz val="8"/>
        <rFont val="Arial"/>
        <family val="2"/>
      </rPr>
      <t>:
Standardize the procedures for meter recordkeeping within an electronic information system.  Accelerate meter accuracy testing and meter replacements guided by testing results.</t>
    </r>
  </si>
  <si>
    <r>
      <t>to qualify for 8</t>
    </r>
    <r>
      <rPr>
        <sz val="8"/>
        <rFont val="Arial"/>
        <family val="2"/>
      </rPr>
      <t>:
Expand annual meter accuracy testing to evaluate a statistically significant number of meter makes/models.  Expand meter replacement program to replace statistically significant number of poor performing meters each year.</t>
    </r>
  </si>
  <si>
    <r>
      <t>to qualify for 9</t>
    </r>
    <r>
      <rPr>
        <sz val="8"/>
        <rFont val="Arial"/>
        <family val="2"/>
      </rPr>
      <t>:
Continue efforts to manage meter population with reliable recordkeeping.  Test a statistically significant number of meters each year and analyze test results in an ongoing manner to serve as a basis for a target meter replacement strategy based upon accumulated volume throughput.</t>
    </r>
  </si>
  <si>
    <r>
      <t>to qualify for 10</t>
    </r>
    <r>
      <rPr>
        <sz val="8"/>
        <rFont val="Arial"/>
        <family val="2"/>
      </rPr>
      <t>:
Continue efforts to manage meter population with reliable recordkeeping, meter testing and replacement.  Evaluate new meter types and install one or more types in 5-10 customer accounts each year in order to pilot improving metering technology.</t>
    </r>
  </si>
  <si>
    <r>
      <t>to maintain 10</t>
    </r>
    <r>
      <rPr>
        <sz val="8"/>
        <rFont val="Arial"/>
        <family val="2"/>
      </rPr>
      <t>:
Increase the number of meters tested and replaced as justified by meter accuracy test data.  Continually monitor development of new metering technology and Advanced Metering Infrastructure (AMI) to grasp opportunities for greater accuracy in metering of water flow and management of customer consumption data.</t>
    </r>
  </si>
  <si>
    <t>Policies and procedures for activation of new customer water billing accounts are vague and lack accountability. Billing data is maintained on paper records which are not well organized.  No auditing is conducted to confirm billing data handling efficiency.  An unknown number of customers escape routine billing due to lack of billing process oversight.</t>
  </si>
  <si>
    <t>Policy and procedures for activation of new customer accounts and oversight of billing records exist but need refinement. Billing data is maintained on paper records or insufficiently capable electronic database.  Only periodic unstructured auditing work is conducted to confirm billing data handling efficiency.  The volume of unbilled water due to billing lapses is a guess.</t>
  </si>
  <si>
    <t>Policy and procedures for new account activation and oversight of billing operations exist but needs refinement.  Computerized billing system exists, but is dated or lacks needed functionality.  Periodic, limited internal audits conducted and confirm with approximate accuracy the consumption volumes lost to billing lapses.</t>
  </si>
  <si>
    <t>Policy and procedures for new account activation and oversight of billing operations is adequate and reviewed periodically.  Computerized billing system is in use with basic reporting available.  Any effect of billing adjustments on measured consumption volumes is well understood.  Internal checks of billing data error conducted annually.  Reasonably accurate quantification of consumption volume lost to billing lapses is obtained.</t>
  </si>
  <si>
    <t>New account activation and billing operations policy and procedures are reviewed at least biannually.  Computerized billing system includes an array of reports to confirm billing data and system functionality.  Checks are conducted routinely to flag and explain zero consumption accounts.  Annual internal checks conducted with third party audit conducted at least once every five years.  Accountability checks flag billing lapses.  Consumption lost to billing lapses is well quantified and reducing year-by-year.</t>
  </si>
  <si>
    <t xml:space="preserve">Sound written policy and procedures exist for new account activation and oversight of customer billing operations.  Robust computerized billing system gives high functionality and reporting capabilities which are utilized, analyzed and the results reported each billing cycle.  Assessment of policy and data handling errors are conducted internally and audited by third party at least once every three years, ensuring consumption lost to billing lapses is minimized and detected as it occurs. </t>
  </si>
  <si>
    <r>
      <t>to qualify for 2</t>
    </r>
    <r>
      <rPr>
        <sz val="8"/>
        <rFont val="Arial"/>
        <family val="2"/>
      </rPr>
      <t xml:space="preserve">:
Draft written policy and procedures for activating new water billing accounts and oversight of billing operations.  Investigate and budget for computerized customer billing system.  Conduct initial audit of billing records by flow-charting the basic business processes of the customer account/billing function.  </t>
    </r>
  </si>
  <si>
    <r>
      <t>to qualify for 6</t>
    </r>
    <r>
      <rPr>
        <sz val="8"/>
        <rFont val="Arial"/>
        <family val="2"/>
      </rPr>
      <t>:
Refine new account activation and billing operations procedures and ensure consistency with the utility policy regarding billing, and minimize opportunity for missed billings.  Upgrade or replace customer billing system for needed functionality - ensure that billing adjustments don't corrupt the value of consumption volumes.  Procedurize internal annual audit process.</t>
    </r>
  </si>
  <si>
    <r>
      <t>to qualify for 8</t>
    </r>
    <r>
      <rPr>
        <sz val="8"/>
        <rFont val="Arial"/>
        <family val="2"/>
      </rPr>
      <t>:
Formalize regular review of new account activation process and general billing practices.  Enhance reporting capability of computerized billing system.  Formalize regular auditing process to reveal scope of data handling error.  Plan for periodic third party audit to occur at least once every five years.</t>
    </r>
  </si>
  <si>
    <r>
      <t>to qualify for 10</t>
    </r>
    <r>
      <rPr>
        <sz val="8"/>
        <rFont val="Arial"/>
        <family val="2"/>
      </rPr>
      <t xml:space="preserve">:
Close policy/procedure  loopholes that allow some customer accounts to go unbilled, or data handling errors to exist.  Ensure that billing system reports are utilized, analyzed and reported every billing cycle.  Ensure that internal and third party audits are conducted at least once every three years. </t>
    </r>
  </si>
  <si>
    <r>
      <t>to maintain 10</t>
    </r>
    <r>
      <rPr>
        <sz val="8"/>
        <rFont val="Arial"/>
        <family val="2"/>
      </rPr>
      <t>:
Stay abreast of customer information management developments and innovations.  Monitor developments of Advanced Metering Infrastructure (AMI) and integrate technology to ensure that customer endpoint information is well-monitored and errors/lapses are at an economic minimum.</t>
    </r>
  </si>
  <si>
    <t>Paper records in poor or uncertain condition (no annual tracking of installations &amp; abandonments).  Poor procedures to ensure that new water mains installed by developers are accurately documented.</t>
  </si>
  <si>
    <t>Sound written policy and procedures exist for documenting new water main installations, but gaps in management result in a uncertain degree of error in tabulation of mains length.</t>
  </si>
  <si>
    <t>Sound written policy and procedures exist for permitting and commissioning new water mains.  Highly accurate paper records with regular field validation; or electronic records and asset management system in good condition.  Includes system backup.</t>
  </si>
  <si>
    <t xml:space="preserve">Sound written policy and procedures exist for permitting and commissioning new water mains.  Electronic recordkeeping such as a Geographical Information System (GIS) and asset management system are used to store and manage data.  </t>
  </si>
  <si>
    <t>Sound written policy exists for managing water mains extensions and replacements.  Geographic Information System (GIS) data and asset management database agree and random field validation proves truth of databases.  Records of annual field validation should be available for review.</t>
  </si>
  <si>
    <r>
      <t>to qualify for 2</t>
    </r>
    <r>
      <rPr>
        <sz val="8"/>
        <rFont val="Arial"/>
        <family val="2"/>
      </rPr>
      <t xml:space="preserve">:
Assign personnel to inventory current as-built records and compare with customer billing system records and highway plans in order to verify poorly documented pipelines.  Assemble policy documents regarding permitting and documentation of water main installations by the utility and building developers; identify gaps in procedures that result in poor documentation of new water main installations. </t>
    </r>
  </si>
  <si>
    <r>
      <t>to qualify for 4</t>
    </r>
    <r>
      <rPr>
        <sz val="8"/>
        <rFont val="Arial"/>
        <family val="2"/>
      </rPr>
      <t>:
Complete inventory of paper records of water main installations for several years prior to audit year.  Review policy and procedures for commissioning and documenting new water main installation.</t>
    </r>
  </si>
  <si>
    <r>
      <t>to qualify for 8</t>
    </r>
    <r>
      <rPr>
        <sz val="8"/>
        <rFont val="Arial"/>
        <family val="2"/>
      </rPr>
      <t>:
Launch random field checks of limited number of locations.  Convert to electronic database such as a Geographic Information System (GIS) with backup as justified.  Develop written policy and procedures.</t>
    </r>
  </si>
  <si>
    <r>
      <t>to qualify for 10</t>
    </r>
    <r>
      <rPr>
        <sz val="8"/>
        <rFont val="Arial"/>
        <family val="2"/>
      </rPr>
      <t>:
Link Geographic Information System (GIS) and asset management databases, conduct field verification of data.  Record field verification information at least annually.</t>
    </r>
  </si>
  <si>
    <r>
      <t>to maintain 10</t>
    </r>
    <r>
      <rPr>
        <sz val="8"/>
        <rFont val="Arial"/>
        <family val="2"/>
      </rPr>
      <t>:
Continue with standardization and random field validation to improve the completeness and accuracy of the system.</t>
    </r>
  </si>
  <si>
    <t xml:space="preserve">Written account activation policy and procedures exist, but with some gaps in performance and oversight.  Computerized information management system is being brought online to replace dated paper recordkeeping system.  Reasonably accurate tracking of service connection installations &amp; abandonments; but count can be up to 5% in error from actual total.  </t>
  </si>
  <si>
    <t xml:space="preserve">Policies and procedures for new account activation and overall billing operations are written, well-structured and reviewed at least biannually.  Well-managed computerized information management system exists and routine, periodic field checks and internal system audits are conducted.  Counts of connections are no more than 2% in error. </t>
  </si>
  <si>
    <t>Sound written policy and well managed and audited procedures ensure reliable management of service connection population.  Computerized information management system, Customer Billing System, and Geographic Information System (GIS) information agree; field validation proves truth of databases.  Count of connections recorded as being in error is less than 1% of the entire population.</t>
  </si>
  <si>
    <r>
      <t>to qualify for 2</t>
    </r>
    <r>
      <rPr>
        <sz val="8"/>
        <rFont val="Arial"/>
        <family val="2"/>
      </rPr>
      <t>:
Draft new policy and procedures for new account activation and overall billing operations.  Research and collect paper records of installations &amp; abandonments for several years prior to audit year.</t>
    </r>
  </si>
  <si>
    <r>
      <t>to qualify for 4</t>
    </r>
    <r>
      <rPr>
        <sz val="8"/>
        <rFont val="Arial"/>
        <family val="2"/>
      </rPr>
      <t>:
Refine policy and procedures for new account activation and overall billing operations.  Research computerized recordkeeping system (Customer Information System or Customer Billing System) to improve documentation format for service connections.</t>
    </r>
  </si>
  <si>
    <r>
      <t>to qualify for 6</t>
    </r>
    <r>
      <rPr>
        <sz val="8"/>
        <rFont val="Arial"/>
        <family val="2"/>
      </rPr>
      <t>:
Refine procedures to ensure consistency with new account activation and overall billing policy to establish new service connections or decommission existing connections.  Improve process to include all totals for at least five years prior to audit year.</t>
    </r>
  </si>
  <si>
    <r>
      <t>to qualify for 8</t>
    </r>
    <r>
      <rPr>
        <sz val="8"/>
        <rFont val="Arial"/>
        <family val="2"/>
      </rPr>
      <t xml:space="preserve">:
Formalize regular review of new account activation and overall billing operations policies and procedures.  Launch random field checks of limited number of locations.  Develop reports and auditing mechanisms for computerized information management system. </t>
    </r>
  </si>
  <si>
    <r>
      <t>to qualify for 10</t>
    </r>
    <r>
      <rPr>
        <sz val="8"/>
        <rFont val="Arial"/>
        <family val="2"/>
      </rPr>
      <t>:
Close any procedural loopholes that allow installations to go undocumented.  Link computerized information management system with Geographic Information System (GIS) and formalize field inspection and information system auditing processes.  Documentation of new or decommissioned service connections encounters several levels of checks and balances.</t>
    </r>
  </si>
  <si>
    <r>
      <t>to maintain 10</t>
    </r>
    <r>
      <rPr>
        <sz val="8"/>
        <rFont val="Arial"/>
        <family val="2"/>
      </rPr>
      <t>:
Continue with standardization and random field validation to improve knowledge of system.</t>
    </r>
  </si>
  <si>
    <t xml:space="preserve">Clear written policy exists to define utility/customer responsibility for service connection piping.  Accurate, well-maintained paper or basic electronic recordkeeping system exists.  Periodic field checks confirm piping lengths for a sample of customer properties.   </t>
  </si>
  <si>
    <r>
      <t>to qualify for 4</t>
    </r>
    <r>
      <rPr>
        <sz val="8"/>
        <rFont val="Arial"/>
        <family val="2"/>
      </rPr>
      <t>:
Formalize and communicate policy delineating utility/customer responsibilities for service connection piping.  Assess accuracy of paper records by field inspection of a small sample of service connections using pipe locators as needed.  Research the potential migration to a computerized information management system to store service connection data.</t>
    </r>
  </si>
  <si>
    <r>
      <t>to qualify for 8</t>
    </r>
    <r>
      <rPr>
        <sz val="8"/>
        <rFont val="Arial"/>
        <family val="2"/>
      </rPr>
      <t xml:space="preserve">:
Implement an electronic means of recordkeeping, typically via a customer information system, customer billing system, or Geographic Information System (GIS).  Standardize the process to conduct field checks of a limited number of locations.  </t>
    </r>
  </si>
  <si>
    <r>
      <t>to qualify for 10</t>
    </r>
    <r>
      <rPr>
        <sz val="8"/>
        <rFont val="Arial"/>
        <family val="2"/>
      </rPr>
      <t>:
Link customer information management system and Geographic Information System (GIS), standardize process for field verification of data.</t>
    </r>
  </si>
  <si>
    <r>
      <t>to maintain 10</t>
    </r>
    <r>
      <rPr>
        <sz val="8"/>
        <rFont val="Arial"/>
        <family val="2"/>
      </rPr>
      <t>:
Continue with standardization and random field validation to improve knowledge of service connection configurations and customer meter locations.</t>
    </r>
  </si>
  <si>
    <t xml:space="preserve">Limited telemetry monitoring of scattered pumping station and water storage tank sites provides some static pressure data, which is recorded in handwritten logbooks.  Pressure data is gathered at individual sites only when low pressure complaints arise.  Average pressure is determined by averaging relatively crude data, and is affected by significant variation in ground elevations, system head loss and gaps in pressure controls in the distribution system. </t>
  </si>
  <si>
    <t xml:space="preserve">Reliable pressure controls separate distinct pressure zones; only very occasional open boundary valves are encountered that breech pressure zones.  Well-covered telemetry monitoring of the distribution system (not just pumping at source treatment plants or wells) logs extensive pressure data electronically.  Pressure gathered by gauges/dataloggers at fire hydrants and buildings when low pressure complaints arise, and during fire flow tests and system flushing.  Average pressure is determined by using this mix of reliable data. </t>
  </si>
  <si>
    <t xml:space="preserve">Well-managed, discrete pressure zones exist with generally predictable pressure fluctuations.  A current full-scale SCADA System or similar realtime monitoring system exists to monitor the water distribution system and collect data, including real time pressure readings at representative sites across the system.  The average system pressure is determined from reliable monitoring system data. </t>
  </si>
  <si>
    <t>Well-managed pressure districts/zones, SCADA System and hydraulic model exist to give very precise pressure data across the water distribution system.  Average system pressure is reliably calculated from extensive, reliable, and cross-checked data.  Calculations are reported on an annual basis as a minimum.</t>
  </si>
  <si>
    <r>
      <t>to qualify for 2</t>
    </r>
    <r>
      <rPr>
        <sz val="8"/>
        <rFont val="Arial"/>
        <family val="2"/>
      </rPr>
      <t xml:space="preserve">:
Employ pressure gauging and/or datalogging equipment to obtain pressure measurements from fire hydrants.  Locate accurate topographical maps of service area in order to confirm ground elevations.  Research pump data sheets to find pump pressure/flow characteristics  </t>
    </r>
  </si>
  <si>
    <r>
      <t>to qualify for 4</t>
    </r>
    <r>
      <rPr>
        <sz val="8"/>
        <rFont val="Arial"/>
        <family val="2"/>
      </rPr>
      <t xml:space="preserve">:  
Formalize a procedure to use pressure gauging/datalogging equipment to gather pressure data during various system events such as low pressure complaints, or operational testing. Gather pump pressure and flow data at different flow regimes.  Identify faulty pressure controls (pressure reducing valves, altitude valves, partially open boundary valves) and plan to properly configure pressure zones.  Make all pressure data from these efforts available to generate system-wide average pressure. </t>
    </r>
  </si>
  <si>
    <r>
      <t>to qualify for 6</t>
    </r>
    <r>
      <rPr>
        <sz val="8"/>
        <rFont val="Arial"/>
        <family val="2"/>
      </rPr>
      <t xml:space="preserve">:  
Expand the use of pressure gauging/datalogging equipment to gather scattered pressure data at a representative set of sites, based upon pressure zones or areas.  Utilize pump pressure and flow data to determine supply head entering each pressure zone or district.  Correct any faulty pressure controls (pressure reducing valves, altitude valves, partially open boundary valves) to ensure properly configured pressure zones.  Use expanded pressure dataset from these activities to generate system-wide average pressure. </t>
    </r>
  </si>
  <si>
    <r>
      <t>to qualify for 8</t>
    </r>
    <r>
      <rPr>
        <sz val="8"/>
        <rFont val="Arial"/>
        <family val="2"/>
      </rPr>
      <t xml:space="preserve">:  
Install a Supervisory Control and Data Acquisition (SCADA) System, or similar realtime monitoring system, to monitor system parameters and control operations.  Set regular calibration schedule for instrumentation to insure data accuracy.  Obtain accurate topographical data and utilize pressure data gathered from field surveys to provide extensive, reliable data for pressure averaging.  </t>
    </r>
  </si>
  <si>
    <r>
      <t>to qualify for 10</t>
    </r>
    <r>
      <rPr>
        <sz val="8"/>
        <rFont val="Arial"/>
        <family val="2"/>
      </rPr>
      <t xml:space="preserve">:  
Annually, obtain a system-wide average pressure value from the hydraulic model of the distribution system that has been calibrated via field measurements in the water distribution system and confirmed in comparisons with SCADA System data.      </t>
    </r>
  </si>
  <si>
    <r>
      <t>to maintain 10</t>
    </r>
    <r>
      <rPr>
        <sz val="8"/>
        <rFont val="Arial"/>
        <family val="2"/>
      </rPr>
      <t xml:space="preserve">:  
Continue to refine the hydraulic model of the distribution system and consider linking it with SCADA System for real-time pressure data calibration, and averaging.      </t>
    </r>
  </si>
  <si>
    <t>Incomplete paper records and lack of financial accounting documentation on many operating functions makes calculation of water system operating costs a pure guesstimate</t>
  </si>
  <si>
    <t xml:space="preserve">Electronic, industry-standard cost accounting system in place.  However, gaps in data are known to exist, periodic internal reviews are conducted but not a structured financial audit. </t>
  </si>
  <si>
    <t xml:space="preserve">Reliable electronic, industry-standard cost accounting system in place, with all pertinent water system operating costs tracked.  Data audited periodically by utility personnel, but not a Certified Public Accountant (CPA).  </t>
  </si>
  <si>
    <t xml:space="preserve">Reliable electronic, industry-standard cost accounting system in place, with all pertinent water system operating costs tracked.  Data audited at least annually by utility personnel, and at least once every three years by third-party CPA.  </t>
  </si>
  <si>
    <t xml:space="preserve">Reliable electronic, industry-standard cost accounting system in place, with all pertinent water system operating costs tracked.  Data audited annually by utility personnel and annually also by third-party CPA.  </t>
  </si>
  <si>
    <r>
      <t>to qualify for 2</t>
    </r>
    <r>
      <rPr>
        <sz val="8"/>
        <rFont val="Arial"/>
        <family val="2"/>
      </rPr>
      <t>:
Gather available records, institute new financial accounting procedures to regularly collect and audit basic cost data of most important operations functions.</t>
    </r>
  </si>
  <si>
    <r>
      <t>to qualify for 4</t>
    </r>
    <r>
      <rPr>
        <sz val="8"/>
        <rFont val="Arial"/>
        <family val="2"/>
      </rPr>
      <t>:
Implement an electronic cost accounting system, structured according to accounting standards for water utilities</t>
    </r>
  </si>
  <si>
    <r>
      <t>to qualify for 6</t>
    </r>
    <r>
      <rPr>
        <sz val="8"/>
        <rFont val="Arial"/>
        <family val="2"/>
      </rPr>
      <t>:
Establish process for periodic internal audit of water system operating costs; identify cost data gaps and institute procedures for tracking these outstanding costs.</t>
    </r>
  </si>
  <si>
    <r>
      <t>to qualify for 8</t>
    </r>
    <r>
      <rPr>
        <sz val="8"/>
        <rFont val="Arial"/>
        <family val="2"/>
      </rPr>
      <t>:
Standardize the process to conduct routine financial audit on an annual basis.  Arrange for CPA audit of financial records at least once every three years.</t>
    </r>
  </si>
  <si>
    <r>
      <t>to qualify for 10</t>
    </r>
    <r>
      <rPr>
        <sz val="8"/>
        <rFont val="Arial"/>
        <family val="2"/>
      </rPr>
      <t>:
Standardize the process to conduct a third-party financial audit by a CPA on an annual basis.</t>
    </r>
  </si>
  <si>
    <r>
      <t>to maintain 10</t>
    </r>
    <r>
      <rPr>
        <sz val="8"/>
        <rFont val="Arial"/>
        <family val="2"/>
      </rPr>
      <t>:
Maintain program, stay abreast of expenses subject to erratic cost changes and long-term cost trend, and budget/track costs proactively</t>
    </r>
  </si>
  <si>
    <t>Effective water rate structure is in force and is applied reliably in billing operations.  Composite customer rate is determined using a weighted average composite consumption rate, which includes residential, commercial, industrial, institutional (CII), and any other distinct customer classes within the water rate structure.</t>
  </si>
  <si>
    <r>
      <t>to qualify for 2</t>
    </r>
    <r>
      <rPr>
        <sz val="8"/>
        <rFont val="Arial"/>
        <family val="2"/>
      </rPr>
      <t>:
Formalize the process to implement water rates, including a secure documentation procedure.  Create a current, formal water rate document and gain approval from all stakeholders.</t>
    </r>
  </si>
  <si>
    <r>
      <t>to qualify for 4</t>
    </r>
    <r>
      <rPr>
        <sz val="8"/>
        <rFont val="Arial"/>
        <family val="2"/>
      </rPr>
      <t>:
Review the water rate structure and update/formalize as needed.  Assess billing operations to ensure that actual billing operations incorporate the established water rate structure.</t>
    </r>
  </si>
  <si>
    <r>
      <t>to qualify for 6</t>
    </r>
    <r>
      <rPr>
        <sz val="8"/>
        <rFont val="Arial"/>
        <family val="2"/>
      </rPr>
      <t>:
Evaluate volume of water used in each usage block by residential users.  Multiply volumes by full rate structure.</t>
    </r>
  </si>
  <si>
    <t>Launch effort to fully meter the customer population and charge rates based upon water volumes</t>
  </si>
  <si>
    <r>
      <t>to qualify for 8</t>
    </r>
    <r>
      <rPr>
        <sz val="8"/>
        <rFont val="Arial"/>
        <family val="2"/>
      </rPr>
      <t>:
Evaluate volume of water used in each usage block by all classifications of users.  Multiply volumes by full rate structure.</t>
    </r>
  </si>
  <si>
    <r>
      <t>to qualify for 10</t>
    </r>
    <r>
      <rPr>
        <sz val="8"/>
        <rFont val="Arial"/>
        <family val="2"/>
      </rPr>
      <t>:
Conduct a periodic third-party audit of water used in each usage block by all classifications of users.  Multiply volumes by full rate structure.</t>
    </r>
  </si>
  <si>
    <r>
      <t>to maintain 10</t>
    </r>
    <r>
      <rPr>
        <sz val="8"/>
        <rFont val="Arial"/>
        <family val="2"/>
      </rPr>
      <t>:
Keep water rate structure current in addressing the water utility's revenue needs.  Update the calculation of the customer unit rate as new rate components, customer classes, or other components are modified.</t>
    </r>
  </si>
  <si>
    <r>
      <t>to qualify for 2</t>
    </r>
    <r>
      <rPr>
        <sz val="8"/>
        <rFont val="Arial"/>
        <family val="2"/>
      </rPr>
      <t>:
Gather available records, institute new procedures to regularly collect and audit basic cost data and most important operations functions.</t>
    </r>
  </si>
  <si>
    <r>
      <t>to qualify for 6</t>
    </r>
    <r>
      <rPr>
        <sz val="8"/>
        <rFont val="Arial"/>
        <family val="2"/>
      </rPr>
      <t xml:space="preserve">:
Formalize process for regular internal audits of production costs.  Assess whether additional costs (liability, residuals management, equipment wear, impending infrastructure expansion) should be included to calculate a more representative variable production cost.  </t>
    </r>
  </si>
  <si>
    <r>
      <t>to maintain 10</t>
    </r>
    <r>
      <rPr>
        <sz val="8"/>
        <rFont val="Arial"/>
        <family val="2"/>
      </rPr>
      <t>:
Maintain program, stay abreast of expenses subject to erratic cost changes and budget/track costs proactively</t>
    </r>
  </si>
  <si>
    <r>
      <t>to qualify for 6</t>
    </r>
    <r>
      <rPr>
        <sz val="8"/>
        <rFont val="A"/>
      </rPr>
      <t>:
Finalize updates/improvements to written policy and procedures for permitting/commissioning new main installations.  Confirm inventory of records for five years prior to audit year; correct any errors or omissions.</t>
    </r>
  </si>
  <si>
    <t xml:space="preserve"> Enter MM/YYYY numeric format</t>
  </si>
  <si>
    <t>Volume from own sources master meter error adjustment:</t>
  </si>
  <si>
    <t>Grading &gt;&gt;&gt;</t>
  </si>
  <si>
    <r>
      <t xml:space="preserve">Note: The number of Service Connections does </t>
    </r>
    <r>
      <rPr>
        <b/>
        <u/>
        <sz val="8"/>
        <rFont val="Arial"/>
        <family val="2"/>
      </rPr>
      <t>not</t>
    </r>
    <r>
      <rPr>
        <b/>
        <sz val="8"/>
        <rFont val="Arial"/>
        <family val="2"/>
      </rPr>
      <t xml:space="preserve"> include fire hydrant leads/lines connecting the hydrant to the water main</t>
    </r>
  </si>
  <si>
    <t>Systematic Data Handling Errors:</t>
  </si>
  <si>
    <t xml:space="preserve"> The grading assigned to each audit component and the corresponding recommended improvements and actions are highlighted in yellow. Audit accuracy is likely to be improved by prioritizing those items shown in red</t>
  </si>
  <si>
    <t>Andrew Chastain-Howley, PG*, MCSM.   Black &amp; Veatch </t>
  </si>
  <si>
    <t>George Kunkel, P.E.   Philadelphia Water Department</t>
  </si>
  <si>
    <t>Ralph Y. McCord, P.E.   Louisville Water Company</t>
  </si>
  <si>
    <t>Brian M. Skeens, P.E.   CH2M HILL</t>
  </si>
  <si>
    <t>Reinhard Sturm   Water Systems Optimization, Inc.</t>
  </si>
  <si>
    <t>Isabel Szendrey Ramos, P.E.   Autoridad de Acueductos y Alcantarillados</t>
  </si>
  <si>
    <t xml:space="preserve">John H. Van Arsdel   M.E. Simpson Company, Inc. </t>
  </si>
  <si>
    <t>David A. Sayers   Delaware River Basin Commission</t>
  </si>
  <si>
    <t xml:space="preserve">End Date: </t>
  </si>
  <si>
    <t xml:space="preserve">Audit Preparation Date: </t>
  </si>
  <si>
    <t>Use this worksheet to add comments or notes to explain how an input value was calculated, or to document the sources of the information used.</t>
  </si>
  <si>
    <t>Auditors are strongly encouraged to refer to the most current edition of AWWA M36 Manual for Water Audits 
for detailed guidance on the water auditing process and targetting loss reduction levels</t>
  </si>
  <si>
    <t>Will J. Jernigan, P.E.   Cavanaugh &amp; Associates, P.A.</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</si>
  <si>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</si>
  <si>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r>
      <t xml:space="preserve">        AWWA Free Water Audit Software: </t>
    </r>
    <r>
      <rPr>
        <b/>
        <u/>
        <sz val="16"/>
        <color indexed="9"/>
        <rFont val="Arial"/>
        <family val="2"/>
      </rPr>
      <t>Grading Matrix</t>
    </r>
  </si>
  <si>
    <t>International (XX)</t>
  </si>
  <si>
    <t>50% - 75% of treated water production sources are metered, other sources estimated.  Occasional meter accuracy testing or electronic calibration conducted.</t>
  </si>
  <si>
    <t xml:space="preserve">25% - 50% of treated water production sources are metered; other sources estimated.  No regular meter accuracy testing or electronic calibration conducted. </t>
  </si>
  <si>
    <t>Less than 25% of water production sources are metered, remaining sources are estimated.  No regular meter accuracy testing or electronic calibration conducted.</t>
  </si>
  <si>
    <t>Customer population unmetered, and/or only a fixed fee is charged for consumption.</t>
  </si>
  <si>
    <t>Conditions between
4 and 6</t>
  </si>
  <si>
    <t>Current, effective water rate structure is in force and applied reliably in billing operations.  The rate structure and calculations of composite rate - which includes residential, commercial, industrial, institutional (CII), and other distinct customer classes - are reviewed by a third party knowledgeable in the M36 methodology at least once every five years.</t>
  </si>
  <si>
    <t xml:space="preserve">Electronic, industry-standard cost accounting system in place.  Electric power and treatment costs are reliably tracked and allow accurate weighted calculation of unit variable production costs based on these two inputs and water imported purchase costs (if applicable). All costs are audited internally on a periodic basis. </t>
  </si>
  <si>
    <t>Reliable electronic, industry-standard cost accounting system in place, with all pertinent water system operating costs tracked.  Pertinent additional costs beyond power, treatment and water imported purchase costs (if applicable) such as liability, residuals management, wear and tear on equipment, impending expansion of supply, are included in the unit variable production cost, as applicable.  The data is audited at least annually by utility personnel.</t>
  </si>
  <si>
    <t xml:space="preserve">Reliable electronic, industry-standard cost accounting system in place, with all pertinent primary and secondary variable production and water imported purchase  (if applicable) costs tracked.  The data is audited at least annually by utility personnel, and at least once every three years by a third-party knowledgeable in the M36 methodology.  </t>
  </si>
  <si>
    <t>Either of two conditions can be met to obtain a grading of 10:
1) Third party CPA audit of all pertinent primary and secondary variable production and water imported purchase (if applicable) costs on an annual basis.
or:
2) Water supply is entirely purchased as bulk imported water, and unit purchase cost serves as the variable production cost.</t>
  </si>
  <si>
    <r>
      <t xml:space="preserve">At least 99% of customers exist with volume-based billing from meter reads.  At least 95% customer meter reading success rate; </t>
    </r>
    <r>
      <rPr>
        <u/>
        <sz val="8"/>
        <rFont val="Arial"/>
        <family val="2"/>
      </rPr>
      <t>or</t>
    </r>
    <r>
      <rPr>
        <sz val="8"/>
        <rFont val="Arial"/>
        <family val="2"/>
      </rPr>
      <t xml:space="preserve"> minimum 80% meter reading success rate, with Automatic Meter Reading (AMR) or Advanced Metering Infrastructure (AMI) trials underway.  Statistically significant customer meter testing and replacement program in place on a continuous basis.  Computerized billing with routine, detailed auditing, including field investigation of representative sample of accounts undertaken annually by utility personnel.  Audit is conducted by third party auditors at least once every three years.</t>
    </r>
  </si>
  <si>
    <t xml:space="preserve">100% of treated water production sources are metered, meter accuracy testing and electronic calibration of related instrumentation is conducted semi-annually, with less than 10% found outside of +/- 3% accuracy. Procedures are reviewed by a third party knowledgeable in the M36 methodology.    </t>
  </si>
  <si>
    <t xml:space="preserve">Good records of all active customer meters exist and include as a minimum: meter number, account number/location, type, size and manufacturer.  Ongoing meter replacement occurs according to a targeted and justified basis.  Regular meter accuracy testing gives a reliable measure of composite inaccuracy volume for the customer meter population.  New metering technology is embraced to keep overall accuracy improving. Procedures are reviewed by a third party knowledgeable in the M36 methodology.    </t>
  </si>
  <si>
    <t>Data Validity Score:</t>
  </si>
  <si>
    <r>
      <t xml:space="preserve">AWWA Free Water Audit Software: </t>
    </r>
    <r>
      <rPr>
        <b/>
        <u/>
        <sz val="16"/>
        <color indexed="9"/>
        <rFont val="Arial"/>
        <family val="2"/>
      </rPr>
      <t>Water Balance</t>
    </r>
  </si>
  <si>
    <t xml:space="preserve">Hourly production meter data logged automatically &amp; reviewed on at least a weekly basis.  Data is adjusted to correct gross error when meter/instrumentation equipment malfunction is detected; and/or error is confirmed by meter accuracy testing.  Tank/storage facility elevation changes are automatically used in calculating a balanced "Volume from own sources" component, and data gaps in the archived data are corrected on at least a weekly basis.  </t>
  </si>
  <si>
    <r>
      <t>to maintain 10</t>
    </r>
    <r>
      <rPr>
        <sz val="8"/>
        <rFont val="Arial"/>
        <family val="2"/>
      </rPr>
      <t>:
Monitor meter innovations for development of more accurate and less expensive flowmeters.  Continue to replace or repair meters as they perform outside of desired accuracy limits.  Stay abreast of new and more accurate water level instruments to better record tank/storage levels and archive the variations in storage volume.  Keep current with SCADA and data management systems to ensure that archived data is well-managed and error free.</t>
    </r>
  </si>
  <si>
    <r>
      <t>Improvements to attain higher data grading for "Water Imported Volume" component:
(</t>
    </r>
    <r>
      <rPr>
        <i/>
        <sz val="8"/>
        <rFont val="Arial"/>
        <family val="2"/>
      </rPr>
      <t>Note: usually the water supplier selling the water - "the Exporter" -  to the utility being audited is responsible to maintain the metering installation measuring the imported volume.  The utility should coordinate carefully with the Exporter to ensure that adequate meter upkeep takes place and an accurate measure of the Water Imported volume is quantified.</t>
    </r>
    <r>
      <rPr>
        <sz val="8"/>
        <rFont val="Arial"/>
        <family val="2"/>
      </rPr>
      <t xml:space="preserve">) </t>
    </r>
  </si>
  <si>
    <t xml:space="preserve">Select n/a if the Imported water supply is unmetered, with Imported water quantities estimated on the billing invoices sent by the Exporter to the purchasing Utility. </t>
  </si>
  <si>
    <t xml:space="preserve">Inventory information on imported meters and paper records of measured volumes exist but are incomplete and/or in a very crude condition; data error cannot be determined   Written agreement(s) with water Exporter(s) are missing or written in vague language concerning meter management and testing. </t>
  </si>
  <si>
    <t xml:space="preserve">Imported supply metered flow data is logged automatically in electronic format and reviewed at least on a monthly basis by the Exporter with necessary corrections implemented.  Meter data is adjusted by the Exporter when gross data errors are detected.  A coherent data trail exists for this process to protect both the selling and the purchasing Utility.  Written agreement exists and clearly states requirements and roles for meter accuracy testing and data management. </t>
  </si>
  <si>
    <t xml:space="preserve">Hourly Imported supply metered data is logged automatically &amp; reviewed on at least a weekly basis by the Exporter.  Data is adjusted to correct gross error when meter/instrumentation equipment malfunction is detected; and to correct for error confirmed by meter accuracy testing.  Any data gaps in the archived data are detected and corrected during the weekly review.  A coherent data trail exists for this process to protect both the selling and the purchasing Utility.    </t>
  </si>
  <si>
    <t>Continuous Imported supply metered flow data is logged automatically &amp; reviewed each business day by the Importer.  Data is adjusted to correct gross error from detected meter/instrumentation equipment malfunction and/or results of meter accuracy testing.  Any data errors/gaps are detected and corrected on a daily basis.  A data trail exists for the process to protect both the selling and the purchasing Utility.</t>
  </si>
  <si>
    <t xml:space="preserve">Computerized system (SCADA or similar) automatically records data which is reviewed each business day by the Exporter.  Tight accountability controls ensure that all error/data gaps that occur in the archived flow data are quickly detected and corrected.  A reliable data trail exists and contract provisions for meter testing and data management are reviewed by the selling and purchasing Utility at least once every five years.  </t>
  </si>
  <si>
    <r>
      <t xml:space="preserve">to qualify for 2:
</t>
    </r>
    <r>
      <rPr>
        <sz val="8"/>
        <rFont val="Arial"/>
        <family val="2"/>
      </rPr>
      <t>Develop a plan to restructure recordkeeping system to capture all flow data; set a procedure to review flow data on a daily  basis to detect input errors.  Obtain more reliable information about existing meters by conducting field inspections of meters and related instrumentation, and obtaining manufacturer literature.  Review the written agreement between the selling and purchasing Utility.</t>
    </r>
  </si>
  <si>
    <r>
      <t>to qualify for 4</t>
    </r>
    <r>
      <rPr>
        <sz val="8"/>
        <rFont val="Arial"/>
        <family val="2"/>
      </rPr>
      <t xml:space="preserve">:
Install automatic datalogging equipment on Imported supply meters.  Set a procedure to review this data on a monthly basis to detect gross anomalies and data gaps.  Launch discussions with the Exporters to jointly review terms of the written agreements regarding meter accuracy testing and data management; revise the terms as necessary.      </t>
    </r>
  </si>
  <si>
    <r>
      <t>to qualify for 10</t>
    </r>
    <r>
      <rPr>
        <sz val="8"/>
        <rFont val="Arial"/>
        <family val="2"/>
      </rPr>
      <t xml:space="preserve">:
Conduct accountability checks to confirm that all Imported supply metered data is reviewed and corrected each business day by the Exporter.  Results of all meter accuracy tests and data corrections should be available for sharing between the Exporter and the purchasing Utility.  Establish a schedule for a regular review and updating of the contractual language in the written agreement between the selling and the purchasing Utility; at least every five years. </t>
    </r>
  </si>
  <si>
    <r>
      <t>to maintain 10</t>
    </r>
    <r>
      <rPr>
        <sz val="8"/>
        <rFont val="Arial"/>
        <family val="2"/>
      </rPr>
      <t xml:space="preserve">:
Monitor meter innovations for development of more accurate and less expensive flowmeters; work with the Exporter to help identify meter replacement needs.  Keep communication lines with Exporters open and maintain productive relations.  Keep the written agreement current with clear and explicit language that meets the ongoing needs of all parties. </t>
    </r>
  </si>
  <si>
    <r>
      <t>Improvements to attain higher data grading for "Water Exported Volume" component:
(</t>
    </r>
    <r>
      <rPr>
        <i/>
        <sz val="8"/>
        <rFont val="Arial"/>
        <family val="2"/>
      </rPr>
      <t>Note: usually, if the water utility being audited sells (Exports) water to a neighboring purchasing Utility, it is the responsibility of the utility exporting the water to maintain the metering installation measuring the Exported volume.  The utility exporting the water should ensure that adequate meter upkeep takes place and an accurate measure of the Water Exported volume is quantified.</t>
    </r>
    <r>
      <rPr>
        <sz val="8"/>
        <rFont val="Arial"/>
        <family val="2"/>
      </rPr>
      <t xml:space="preserve">) </t>
    </r>
  </si>
  <si>
    <r>
      <t xml:space="preserve">to qualify for 10:
</t>
    </r>
    <r>
      <rPr>
        <sz val="8"/>
        <rFont val="Arial"/>
        <family val="2"/>
      </rPr>
      <t xml:space="preserve">Maintain annual meter accuracy testing for all meters.  Repair or replace meters outside of +/- 3% accuracy.  Investigate new meter technology; pilot one or more replacements with innovative meters in attempt to improve meter accuracy. </t>
    </r>
  </si>
  <si>
    <t>Continuous exported supply metered flow data is logged automatically &amp; reviewed each business day by the utility selling (exporting) the water.  Data is adjusted to correct gross error from detected meter/instrumentation equipment malfunction and any error confirmed by meter accuracy testing.  Any data errors/gaps are detected and corrected on a daily basis.  A data trail exists for the process to protect both the selling (exporting) Utility and the purchasing Utility.</t>
  </si>
  <si>
    <t xml:space="preserve">Computerized system (SCADA or similar) automatically records data which is reviewed each business day by the utility selling (exporting) the water.  Tight accountability controls ensure that all error/data gaps that occur in the archived flow data are quickly detected and corrected.  A reliable data trail exists and contract provisions for meter testing and data management are reviewed by the selling Utility and purchasing Utility at least once every five years.  </t>
  </si>
  <si>
    <r>
      <t xml:space="preserve">Water utility policy </t>
    </r>
    <r>
      <rPr>
        <u/>
        <sz val="8"/>
        <rFont val="Arial"/>
        <family val="2"/>
      </rPr>
      <t>does</t>
    </r>
    <r>
      <rPr>
        <sz val="8"/>
        <rFont val="Arial"/>
        <family val="2"/>
      </rPr>
      <t xml:space="preserve"> require metering and volume based billing in general.  However, a liberal amount of exemptions and a lack of clearly written and communicated procedures result in up to 20% of billed accounts believed to be unmetered by exemption; or the water utility is in transition to becoming fully metered, and a large number of customers remain unmetered.  A rough estimate of  the annual consumption for all unmetered accounts is included in the annual water audit, with no inspection of individual unmetered accounts.</t>
    </r>
  </si>
  <si>
    <t>Improvements to attain higher data grading for "Unbilled Metered Consumption" component:</t>
  </si>
  <si>
    <t>Clear policies exist to identify all known unauthorized uses of water.  Staff and procedures exist to provide enforcement of policies and detect violations.  Each occurrence is recorded and quantified via formulae (estimated time running multiplied by typical flow) or similar methods.  All records and calculations should exist in a form that can be audited by a third party.</t>
  </si>
  <si>
    <t>Written new account activation and overall billing policies and procedures are adequate and reviewed periodically.  Computerized information management system is in use with annual installations &amp; abandonments totaled.  Very limited field verifications and audits.  Error in count of number of service connections is believed to be no more than 3%.</t>
  </si>
  <si>
    <t>Improvements to attain higher data grading for "Number of Active and Inactive Service Connections" component:</t>
  </si>
  <si>
    <t>Note: if customer water meters are located outside of the customer building next to the curb stop or boundary separating utility/customer responsibility, then the auditor should answer "Yes" to the question on the Reporting Worksheet asking about this.  If the answer is Yes, the grading description listed under the Grading of 10(a) will be followed, with a value of zero automatically entered at a Grading of 10.  See the Service Connection Diagram worksheet for a visual presentation of this distance.</t>
  </si>
  <si>
    <t>Vague policy exists to define the delineation of water utility ownership and customer ownership of the service connection piping.  Curb stops are perceived as the breakpoint but these have not been well-maintained or documented.  Most are buried or obscured.  Their location varies widely from site-to-site, and estimating this distance is arbitrary due to the unknown location of many curb stops.</t>
  </si>
  <si>
    <t>Policy requires that the curb stop serves as the delineation point between water utility ownership and customer ownership of the service connection piping.  The piping from the water main to the curb stop is the property of the water utility; and the piping from the curb stop to the customer building is owned by the customer.  Curb stop locations are not well documented and the average distance is based upon a limited number of locations measured in the field.</t>
  </si>
  <si>
    <t>Clearly worded policy standardizes the location of curb stops and meters, which are inspected upon installation.  Accurate and well maintained electronic records exist with periodic field checks to confirm locations of service lines, curb stops and customer meter pits.  An accurate number of customer properties from the customer billing system allows for reliable averaging of this length.</t>
  </si>
  <si>
    <r>
      <t>Either of two conditions can be met for a grading of 10</t>
    </r>
    <r>
      <rPr>
        <sz val="8"/>
        <rFont val="Arial"/>
        <family val="2"/>
      </rPr>
      <t>:
a) Customer water meters exist outside of customer buildings next to the curb stop or boundary separating utility/customer responsibility for service connection piping.  If so, answer "Yes" to the question on the Reporting Working asking about this condition.  A value of zero and a Grading of 10 are automatically entered in the Reporting Worksheet .
b). Meters exist inside customer buildings, or properties are unmetered.  In either case, answer "No" to the Reporting Worksheet question on meter location, and enter a distance determined by the auditor.   For a Grading of 10 this value must be a very reliable number from a Geographic Information System (GIS) and confirmed by a statistically valid number of field checks.</t>
    </r>
  </si>
  <si>
    <t>Gradings 1-9 apply if customer properties are unmetered, if customer meters exist and are located inside the customer building premises, or if the water utility owns and is responsible for the entire service connection piping from the water main to the customer building.  In any of these cases the average distance between the curb stop or boundary separating utility/customer responsibility for service connection piping, and the typical first point of use (ex: faucet) or the customer meter must be quantified.  Gradings of 1-9 are used to grade the validity of the means to quantify this value. (See the "Service Connection Diagram" worksheet)</t>
  </si>
  <si>
    <t xml:space="preserve">Good policy requires that the curb stop serves as the delineation point between water utility ownership and customer ownership of the service connection piping.  Curb stops are generally installed as needed and are reasonably documented.  Their location varies widely from site-to-site, and an estimate of this distance is hindered by the availability of paper records of limited accuracy.   </t>
  </si>
  <si>
    <r>
      <t>to qualify for 2</t>
    </r>
    <r>
      <rPr>
        <sz val="8"/>
        <rFont val="Arial"/>
        <family val="2"/>
      </rPr>
      <t>:
Research and collect paper records of service line installations.  Inspect several sites in the field using pipe locators to locate curb stops.  Obtain the length of this small sample of connections in this manner.</t>
    </r>
  </si>
  <si>
    <r>
      <t>to qualify for 6</t>
    </r>
    <r>
      <rPr>
        <sz val="8"/>
        <rFont val="Arial"/>
        <family val="2"/>
      </rPr>
      <t>:
Establish coherent procedures to ensure that policy for curb stop, meter installation and documentation is followed.  Gain consensus within the water utility for the establishment of a computerized information management system.</t>
    </r>
  </si>
  <si>
    <t>Antiquated, cumbersome water rate structure is used, with periodic historic amendments that were poorly documented and implemented; resulting in classes of customers being billed inconsistent charges.  The actual composite billing rate likely differs significantly from the published water rate structure, but a lack of auditing leaves the degree of error indeterminate.</t>
  </si>
  <si>
    <t>= unauthorized consumption + customer metering inaccuracies + systematic data handling errors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</si>
  <si>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This is the average length of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composite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</si>
  <si>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The cost to produce and supply the next unit of water (e.g., $/million gallons).  This cost is determined by calculating the summed unit costs for ground and surface water treatment and all power used for pumping from the source to the customer.  It may also include other miscellaneous unit costs that apply to the production of drinking water.  It should also include the unit cost of bulk water purchased as an import if applicable.
It is common to apply this unit cost to the volume of Real Losses.  However, if water resources are strained and the ability to meet future drinking water demands is in question, then the water auditor can be justified in applying the Customer Retail Rate to the Real Loss volume, rather than applying the Variable Production Cost.
The Free Water Audit Software applies the Variable Production costs to Real Losses by default.  However, the auditor has the option on the Reporting Worksheet to select the Customer Retail Cost as the basis for the Real Loss cost evaluation if the auditor determines that this is warranted.   </t>
  </si>
  <si>
    <r>
      <t xml:space="preserve">The Water Exported volume is the bulk water conveyed and sold by the water utility to neighboring water systems that exists outside of their service area.  Typically this water is metered at the custody transfer point of interconnection between the two water utilities.  Usually the meter(s) are owned by the water utility that is selling the water: i.e. the exporter.  If the water utility who is compiling the annual water audit sells bulk water in this manner, they are an exporter of water.
Note: The Water Exported volume is sold to wholesale customers who are typically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Reporting Worksheet.  This volume should be included only in the Water Exported box.</t>
    </r>
  </si>
  <si>
    <r>
      <t xml:space="preserve">An estimate or measure of the volume in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Thus, a value of zero should </t>
    </r>
    <r>
      <rPr>
        <u/>
        <sz val="10"/>
        <rFont val="Arial"/>
        <family val="2"/>
      </rPr>
      <t>not</t>
    </r>
    <r>
      <rPr>
        <sz val="10"/>
        <rFont val="Arial"/>
        <family val="2"/>
      </rPr>
      <t xml:space="preserve"> be entered.  Enter a negative percentage or value for metered data under-registration; or, enter a positive percentage or value for metered data over-registration.  If regular meter accuracy testing is conducted on the meter(s) - which is usually conducted by the water utility selling the water - then the results of this testing can be used to help quantify the meter error adjustment.  </t>
    </r>
  </si>
  <si>
    <t>= apparent losses + real losses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</si>
  <si>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Unbilled Auth. Cons.</t>
  </si>
  <si>
    <t>Billed Auth. Cons.</t>
  </si>
  <si>
    <t xml:space="preserve">Volume Reporting Units: </t>
  </si>
  <si>
    <t>Use this  abbreviation for labelling the Dashboard NRW chart:</t>
  </si>
  <si>
    <t>----------------------</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</si>
  <si>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</si>
  <si>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</si>
  <si>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</si>
  <si>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</si>
  <si>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</si>
  <si>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</si>
  <si>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</si>
  <si>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</si>
  <si>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</si>
  <si>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</si>
  <si>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</si>
  <si>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</si>
  <si>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</si>
  <si>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</si>
  <si>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</si>
  <si>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</si>
  <si>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r>
      <t xml:space="preserve"> AWWA Free Water Audit Software:
 </t>
    </r>
    <r>
      <rPr>
        <b/>
        <u/>
        <sz val="14"/>
        <color indexed="9"/>
        <rFont val="Arial"/>
        <family val="2"/>
      </rPr>
      <t>User Comments</t>
    </r>
  </si>
  <si>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</si>
  <si>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r>
      <t xml:space="preserve">At least 97% of customers exist with volume-based billing from meter reads.  At least 90% customer meter reading success rate; </t>
    </r>
    <r>
      <rPr>
        <u/>
        <sz val="8"/>
        <rFont val="Arial"/>
        <family val="2"/>
      </rPr>
      <t>or</t>
    </r>
    <r>
      <rPr>
        <sz val="8"/>
        <rFont val="Arial"/>
        <family val="2"/>
      </rPr>
      <t xml:space="preserve"> at least 80% read success rate with planning and budgeting for trials of Automatic Meter Reading (AMR) or Advanced Metering Infrastructure (AMI) in one or more pilot areas.  Good customer meter records. Regular meter accuracy testing guides replacement of statistically significant number of meters each year.  Routine auditing of computerized billing records for global and detailed statistics occurs annually by utility personnel, and is verified by third party at least once every five years.</t>
    </r>
  </si>
  <si>
    <r>
      <t xml:space="preserve"> AWWA Free Water Audit Software:
 </t>
    </r>
    <r>
      <rPr>
        <b/>
        <u/>
        <sz val="14"/>
        <color indexed="9"/>
        <rFont val="Arial"/>
        <family val="2"/>
      </rPr>
      <t>Examples of Completed and Validated Audits</t>
    </r>
  </si>
  <si>
    <t>Master Meter and Supply Error Adjustments</t>
  </si>
  <si>
    <t>Volume from own sources master meter and supply error adjustment:</t>
  </si>
  <si>
    <t>Improvements to attain higher data grading for "Master meter and supply error adjustment" component:</t>
  </si>
  <si>
    <t xml:space="preserve">
Volume from own sources: Master meter and supply error adjustment</t>
  </si>
  <si>
    <t>Water exported: Master meter and supply error adjustment</t>
  </si>
  <si>
    <t xml:space="preserve">
Water imported: Master meter and supply error adjustment</t>
  </si>
  <si>
    <t>Improvements to attain higher data grading for "Water exported master meter and supply error adjustment" component:</t>
  </si>
  <si>
    <t>Water imported master meter and supply error adjustment:</t>
  </si>
  <si>
    <t>Water exported master meter and supply error adjustment:</t>
  </si>
  <si>
    <t>Improvements to attain higher data grading for "Water imported master meter and supply error adjustment" component:</t>
  </si>
  <si>
    <r>
      <rPr>
        <b/>
        <sz val="20"/>
        <color indexed="9"/>
        <rFont val="Arial"/>
        <family val="2"/>
      </rPr>
      <t>AWWA Free Water Audit Software v5.0</t>
    </r>
    <r>
      <rPr>
        <b/>
        <sz val="20"/>
        <color indexed="9"/>
        <rFont val="Arial"/>
        <family val="2"/>
      </rPr>
      <t xml:space="preserve"> </t>
    </r>
  </si>
  <si>
    <t>AWWA Water Audit Software  Version 5.0 Developed by the Water Loss Control Committee of the American Water Works Association   August, 2014</t>
  </si>
  <si>
    <t>Alain Lalonde, P.Eng.   Master Meter Canada Inc.</t>
  </si>
  <si>
    <t>At least 90% of customers with volume-based billing from meter reads; consumption for remaining accounts is estimated.  Manual customer meter reading gives at least 80% customer meter reading success rate; consumption for accounts with failed reads is estimated.  Good customer meter records exist, but only limited meter accuracy testing is conducted.  Regular replacement is conducted for the oldest meters.  Computerized billing records exist with annual auditing of summary statistics conducted by utility personnel.</t>
  </si>
  <si>
    <r>
      <t>to qualify for 5</t>
    </r>
    <r>
      <rPr>
        <sz val="8"/>
        <rFont val="Arial"/>
        <family val="2"/>
      </rPr>
      <t xml:space="preserve">:
Utilize the accepted default value of 1.25% of the volume of water supplied as an expedient means to gain a reasonable quantification of this use.
</t>
    </r>
    <r>
      <rPr>
        <u/>
        <sz val="8"/>
        <rFont val="Arial"/>
        <family val="2"/>
      </rPr>
      <t>to qualify for 2</t>
    </r>
    <r>
      <rPr>
        <sz val="8"/>
        <rFont val="Arial"/>
        <family val="2"/>
      </rPr>
      <t xml:space="preserve">:
Establish a policy regarding what water uses should be allowed to remain as unbilled and unmetered.  Consider tracking a small sample of one such use (ex: fire hydrant flushing).   </t>
    </r>
  </si>
  <si>
    <r>
      <t>to qualify for 5</t>
    </r>
    <r>
      <rPr>
        <sz val="8"/>
        <rFont val="Arial"/>
        <family val="2"/>
      </rPr>
      <t>:
Utilize accepted default value of 1.25% of the volume of water supplied as an expedient means to gain a reasonable quantification of all such use.  This is particularly appropriate for water utilities who are in the early stages of the water auditing process, and should focus on other components since the volume of unbilled, unmetered consumption is usually a relatively small quantity component, and other larger-quantity components should take priority.</t>
    </r>
  </si>
  <si>
    <r>
      <t>to qualify for 4</t>
    </r>
    <r>
      <rPr>
        <sz val="8"/>
        <rFont val="Arial"/>
        <family val="2"/>
      </rPr>
      <t>:
Finalize written policy and procedures for activation of new billing accounts and overall billing operations management.  Implement a computerized customer billing system.  Conduct initial audit of billing records as part of this process.</t>
    </r>
  </si>
  <si>
    <r>
      <t>to qualify for 8</t>
    </r>
    <r>
      <rPr>
        <sz val="8"/>
        <rFont val="Arial"/>
        <family val="2"/>
      </rPr>
      <t>:
Formalize the accounting process to include direct cost components (power, treatment) as well as indirect cost components (liability, residuals management, etc.)  Arrange to conduct audits by a knowledgeable third-party at least once every three years.</t>
    </r>
  </si>
  <si>
    <t>At least 50% of customers with volume-based billing from meter reads; flat rate billing for others.  Manual meter reading is conducted, with less than 50% meter read success rate, remaining accounts' consumption is estimated.  Limited meter records, no regular meter testing or replacement.  Billing data maintained on paper records, with no auditing.</t>
  </si>
  <si>
    <r>
      <t xml:space="preserve">Number of customer service connections, extending from the water main to supply water to a customer. Please note that this includes the actual number of distinct piping connections, including fire connections, whether active or inactive. This may differ substantially from the number of customers (or number of accounts).  </t>
    </r>
    <r>
      <rPr>
        <b/>
        <sz val="10"/>
        <rFont val="Arial"/>
        <family val="2"/>
      </rPr>
      <t>Note: this number does not include the pipeline leads to fire hydrants - the total length of piping supplying fire hydrants should be included in the "Length of mains" parameter.</t>
    </r>
  </si>
  <si>
    <t xml:space="preserve">Apparent losses caused by accounting omissions, errant computer programming, gaps in policy, procedure, and permitting/activation of new accounts; and any type of data lapse that results in under-stated customer water consumption in summary billing reports.
Systematic Data Handling Errors result in a direct loss of revenue potential.  Water utilities can find "lost" revenue by keying on this component.
Utilities typically measure water consumption registered by water meters at customer premises.  The meter should be read routinely (ex: monthly) and the data transferred to the Customer Billing System, which generates and sends a bill to the customer.  Data Transfer Errors result in the consumption value being less than the actual consumption,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thus under-stating the actual consumption.  Account activation lapses may allow new buildings to use water for months without meter readings and billing.  Poor permitting and construction inspection practices can result in a new building lacking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Note: negative values are not allowed for this audit component. If the auditor enters zero for this component then a grading of 1 will be automatically assigned. </t>
  </si>
  <si>
    <t>Rob Hillebrecht</t>
  </si>
  <si>
    <t>rob@sscwd.org</t>
  </si>
  <si>
    <t>831-637-4670</t>
  </si>
  <si>
    <t>Sunnyslope County Water District</t>
  </si>
  <si>
    <t>Hollister</t>
  </si>
  <si>
    <t>USA</t>
  </si>
  <si>
    <t>Financial Year</t>
  </si>
  <si>
    <t>CA3510003</t>
  </si>
  <si>
    <t>We have 5 active production wells each with a Mag Meter on the discharge piping measuring the water pumped.  There is a pump station at the discharge of our Lessalt Surface Water Treatment Plant with Mag Meters that measure treated water pumped into each of our two pressure zones from there.  All these are connected to our SCADA System and readings are recorded there every minute.  None of these meters have been officially tested, verified, or calibrated as it would be too operationally difficult and expensive to do so. Monthly and annual volumes from each source are summarized in the Operations Summary under the Source Water section.</t>
  </si>
  <si>
    <t>This was left blank as we have no hard meter accuracy testing data.  Operators review production data and tank levels at least daily for anomalies.</t>
  </si>
  <si>
    <t>The 3 bi-directional interties with the City of Hollister through which we import some water are metered with Mag Meters that roll forward and backward with the flow and direction daily recorded and reviewed on SCADA.  These readings are analyzed and presented to the Board on a monthly basis. The meters are not tested or calibrated as it would be too operationally difficult and expensive to do so. The monthly and annual volume of water delivered from the City to the District is summarized in the Operations Summary under the Water Source section.</t>
  </si>
  <si>
    <t>This was left blank as we have no physical meter accuracy testing data.  Operators review intertie/import data and tank levels daily for anomalies.</t>
  </si>
  <si>
    <t>The 3 bi-directional interties and the 2 uni-directional interies through which Sunnyslope CWD exports water to the City of Hollister are metered with Mag Meters, recorded on SCADA every minute, and reviewed by operators at least daily.  These readings are analyzed and presented to the Board on a monthly basis.  The monthly and annual volumes of water delivered from the District to the City are summarized in the Operations Summary under the Water Metered section.</t>
  </si>
  <si>
    <t>This was left blank as we have no physical meter accuracy testing data.  Operators review intertie and import data and tank levels daily for anomalies.</t>
  </si>
  <si>
    <t>All billed customers are metered.  The District serves mostly residential customers with 5/8" or 1" AMR meters.  AMR data is collected via radio monthly. A computer program flags outlying reads for manual rereads which are conducted within 1 or 2 days of the initial reading along with non-AMR meters. No formal testing of customer meters is conducted, but informal tests will be performed upon customer request.  The District replaces meters on about a 15 year schedule and as radio batteries die.  A few replaced meters were tested by supplier and found still within design specifications for accuracy.</t>
  </si>
  <si>
    <t>District Code requires that all billed customers are metered and forbids unmetered water service so there is no such volume.</t>
  </si>
  <si>
    <t>The District office, water treatment plant, and wastewater treatement plant utility water (sinks/bathrooms) are metered, read, tracked and analyzed with monthly meter readings but not issued bills.  However, because these are already tracked and accounted for along with regular billed customers, I am listing this field as 0 to avoid double-counting.</t>
  </si>
  <si>
    <t>The District does not meter fire hydrant or system flushing, nor water used for fire suppression or fire department training.  System flushing is closely tracked with an estimate of 10,000 gallons for each flushing event. 757 hydrants were flushed in FY 2018/2019.  An estimate of 0.25% of Water Supplied is used to account for other miscellaneous uses (e.g. fire suppression, City street sweeping, drained pipes for tie-ins, daily chlorine residual and BacT testing etc.)</t>
  </si>
  <si>
    <t>I am using the Default because we have no data regarding this.</t>
  </si>
  <si>
    <t>Our older residential meters are AMR Badger 5/8" or 1" nutating disc meters up to 15 years old.  We have a meter replacement program replacing meters 15 years or older with AMR Badger ultasonic meters.  The manufacturer tested a few of the older meters that we were replacing and they were within design specifications for accuracy. The 1% under-registration is based on a rule of thumb estimate without any specific testing data.</t>
  </si>
  <si>
    <t>A computer program flags customer meter anomalies for manual rereads and further investigation.  For significant outlying reads, staff will call the customer to better determine the cause for the unusual read.  Only rereads and construction meter reads (less than 5%) are entered manually, so transposing or typo possiblilities are minimal. A strong policy governs establishing new meter accounts to prevent errors.  Yet we have no hard data to deviate from the Default.</t>
  </si>
  <si>
    <t>The total length of mains was determined by summing the lengths of individual main and hydrant lateral segments on our GIS system.  The GIS system assigns segment lengths based on the geometry of the drawn lines which connect GPS plotted valves and water facilities.  Random checking versus as-built plans shows segment lengths to have about +/-5% accuracy.</t>
  </si>
  <si>
    <t>The number of active services is taken from the billing system monthly and averaged over FY 2018/2019 to get the base number of 6,091, thus accounting for the growing number of connections in the District over the FY.  To account for inactive services, (usually 20-30 as people move in and out of homes) an extra 25 was added to active accounts for a total of 6,116.  District staff believe this is accurate to within 1% of the total number of services.</t>
  </si>
  <si>
    <t>Not applicable since all meters are at the curbstop near the property line.</t>
  </si>
  <si>
    <t>We operate two pressure zones regulated by storage tanks built at the proper elevations to maintain the system pressure in each zone.  Within a pressure zone, pressure ranges from about 40 psi to 115 psi depending on the customer's elevation compared to that of the tank, and hydraulic friction losses throughout the distribution system.  The District has one-time static pressure readings at many fire hydrants in the system from fire hydrant flow testing so a mean average was taken of these pressure readings for the 72.0 psi reported here.  Pressures at wells, pumps, interties, and tanks are recorded on SCADA continuously and reviewed daily.</t>
  </si>
  <si>
    <t xml:space="preserve">The District financials are maintained by a CPA on staff and annually audited by a third-party CPA firm, although this audit has not yet been completed for FY 2018/2019.  The Water Utility financials are tracked separate from the Wastewater Utility financials, even though the District provides both services.  Total annual cost to operate includes the Salaries &amp; Benefits, Operating Expenses, and Debt Service for FY 2018/2019.  </t>
  </si>
  <si>
    <t xml:space="preserve">To isolate the unit cost, I subtracted the monthly base meter service charge from the annual Retail Water Charges ($6,388,418.68 - (6,116 customers * ($31.59 * 6 months + $32.54 * 6 months) = $4,035,104.20.  The rates changed half way through the Fiscal Year as shown by each rate times six months.  I then divided this by the volume of water metered ($4,035,104.20 / 99,984,100 Cu. Ft. * 100 = $4.04 / CCF).  This averages out the various rate tiers and rate changes during the Fiscal Year by taking the total amount the District charged for water divided by the total water metered. </t>
  </si>
  <si>
    <t>I only calculated the cost of power for running Well 11 during off-peak times and chlorine cost, as these are the only cost savings we could achieve by reducing leakage.  Well 11 uses approximately 2,640 kWh / MG and has an Off-Peak charge of $0.08671 / kWh for a cost of $228.66 / MG.  Approximately 8 gallons of sodium hypochlorite are used per MG for a cost of about $27.50/MG.  Thus the total unit production cost is approximately $256.16 / MG. For water quality reasons, we will always operate the surface water treatment to our full surface water allotment and make up any extra demand with Well 11 water. I assume other O&amp;M costs will not change as they would be required anyway.</t>
  </si>
  <si>
    <t>Yes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</si>
</sst>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_);\(&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mm/yyyy"/>
    <numFmt numFmtId="175" formatCode="m/d/yyyy;@"/>
  </numFmts>
  <fonts count="125">
    <font>
      <sz val="10"/>
      <name val="Arial"/>
    </font>
    <font>
      <sz val="10"/>
      <name val="Arial"/>
    </font>
    <font>
      <u/>
      <sz val="10"/>
      <color indexed="12"/>
      <name val="Arial"/>
      <family val="2"/>
    </font>
    <font>
      <sz val="8"/>
      <color indexed="81"/>
      <name val="Tahoma"/>
      <family val="2"/>
    </font>
    <font>
      <b/>
      <sz val="8"/>
      <color indexed="81"/>
      <name val="Tahoma"/>
      <family val="2"/>
    </font>
    <font>
      <sz val="10"/>
      <name val="Courier New"/>
      <family val="3"/>
    </font>
    <font>
      <b/>
      <sz val="14"/>
      <name val="Courier New"/>
      <family val="3"/>
    </font>
    <font>
      <b/>
      <sz val="10"/>
      <name val="Courier New"/>
      <family val="3"/>
    </font>
    <font>
      <sz val="8"/>
      <name val="Courier New"/>
      <family val="3"/>
    </font>
    <font>
      <sz val="9"/>
      <name val="Courier New"/>
      <family val="3"/>
    </font>
    <font>
      <sz val="11"/>
      <name val="Courier New"/>
      <family val="3"/>
    </font>
    <font>
      <b/>
      <sz val="11"/>
      <name val="Courier New"/>
      <family val="3"/>
    </font>
    <font>
      <i/>
      <u/>
      <sz val="9"/>
      <color indexed="10"/>
      <name val="Courier New"/>
      <family val="3"/>
    </font>
    <font>
      <sz val="10"/>
      <color indexed="9"/>
      <name val="Courier New"/>
      <family val="3"/>
    </font>
    <font>
      <u/>
      <sz val="10"/>
      <name val="Courier New"/>
      <family val="3"/>
    </font>
    <font>
      <sz val="10"/>
      <color indexed="12"/>
      <name val="Courier New"/>
      <family val="3"/>
    </font>
    <font>
      <b/>
      <sz val="10"/>
      <color indexed="12"/>
      <name val="Courier New"/>
      <family val="3"/>
    </font>
    <font>
      <b/>
      <u/>
      <sz val="10"/>
      <name val="Courier New"/>
      <family val="3"/>
    </font>
    <font>
      <sz val="9"/>
      <name val="Arial"/>
      <family val="2"/>
    </font>
    <font>
      <sz val="10"/>
      <name val="Arial"/>
      <family val="2"/>
    </font>
    <font>
      <b/>
      <sz val="16"/>
      <color indexed="9"/>
      <name val="Courier New"/>
      <family val="3"/>
    </font>
    <font>
      <b/>
      <u/>
      <sz val="16"/>
      <color indexed="9"/>
      <name val="Courier New"/>
      <family val="3"/>
    </font>
    <font>
      <sz val="8"/>
      <name val="Arial"/>
      <family val="2"/>
    </font>
    <font>
      <sz val="10"/>
      <color indexed="22"/>
      <name val="Courier New"/>
      <family val="3"/>
    </font>
    <font>
      <b/>
      <sz val="14"/>
      <color indexed="9"/>
      <name val="Arial"/>
      <family val="2"/>
    </font>
    <font>
      <sz val="10"/>
      <color indexed="10"/>
      <name val="Courier New"/>
      <family val="3"/>
    </font>
    <font>
      <b/>
      <sz val="11"/>
      <color indexed="48"/>
      <name val="Courier New"/>
      <family val="3"/>
    </font>
    <font>
      <b/>
      <sz val="10"/>
      <color indexed="22"/>
      <name val="Courier New"/>
      <family val="3"/>
    </font>
    <font>
      <b/>
      <sz val="10"/>
      <name val="Arial"/>
      <family val="2"/>
    </font>
    <font>
      <b/>
      <sz val="8"/>
      <name val="Arial"/>
      <family val="2"/>
    </font>
    <font>
      <b/>
      <sz val="10"/>
      <color indexed="10"/>
      <name val="Courier New"/>
      <family val="3"/>
    </font>
    <font>
      <b/>
      <sz val="9"/>
      <color indexed="22"/>
      <name val="Courier New"/>
      <family val="3"/>
    </font>
    <font>
      <b/>
      <u/>
      <sz val="11"/>
      <name val="Courier New"/>
      <family val="3"/>
    </font>
    <font>
      <sz val="9"/>
      <name val="Arial"/>
      <family val="2"/>
    </font>
    <font>
      <vertAlign val="superscript"/>
      <sz val="10"/>
      <name val="Arial"/>
      <family val="2"/>
    </font>
    <font>
      <b/>
      <sz val="10"/>
      <color indexed="10"/>
      <name val="Arial"/>
      <family val="2"/>
    </font>
    <font>
      <b/>
      <sz val="9"/>
      <name val="Courier New"/>
      <family val="3"/>
    </font>
    <font>
      <sz val="9"/>
      <color indexed="10"/>
      <name val="Courier New"/>
      <family val="3"/>
    </font>
    <font>
      <sz val="8"/>
      <color indexed="10"/>
      <name val="Tahoma"/>
      <family val="2"/>
    </font>
    <font>
      <sz val="8"/>
      <color indexed="17"/>
      <name val="Tahoma"/>
      <family val="2"/>
    </font>
    <font>
      <sz val="8"/>
      <name val="Arial"/>
      <family val="2"/>
    </font>
    <font>
      <sz val="10"/>
      <color indexed="10"/>
      <name val="Arial"/>
      <family val="2"/>
    </font>
    <font>
      <sz val="8"/>
      <color indexed="12"/>
      <name val="Tahoma"/>
      <family val="2"/>
    </font>
    <font>
      <sz val="8"/>
      <color indexed="20"/>
      <name val="Tahoma"/>
      <family val="2"/>
    </font>
    <font>
      <b/>
      <sz val="16"/>
      <name val="Arial"/>
      <family val="2"/>
    </font>
    <font>
      <b/>
      <sz val="12"/>
      <name val="Arial"/>
      <family val="2"/>
    </font>
    <font>
      <b/>
      <sz val="12"/>
      <name val="Arial"/>
      <family val="2"/>
    </font>
    <font>
      <i/>
      <sz val="10"/>
      <name val="Arial"/>
      <family val="2"/>
    </font>
    <font>
      <sz val="14"/>
      <name val="Arial"/>
      <family val="2"/>
    </font>
    <font>
      <b/>
      <sz val="16"/>
      <name val="Courier New"/>
      <family val="3"/>
    </font>
    <font>
      <sz val="10"/>
      <color indexed="8"/>
      <name val="Courier New"/>
      <family val="3"/>
    </font>
    <font>
      <b/>
      <sz val="15"/>
      <color indexed="10"/>
      <name val="Courier New"/>
      <family val="3"/>
    </font>
    <font>
      <u/>
      <sz val="9"/>
      <name val="Courier New"/>
      <family val="3"/>
    </font>
    <font>
      <b/>
      <sz val="8"/>
      <color indexed="22"/>
      <name val="Courier New"/>
      <family val="3"/>
    </font>
    <font>
      <sz val="8"/>
      <color indexed="53"/>
      <name val="Tahoma"/>
      <family val="2"/>
    </font>
    <font>
      <b/>
      <sz val="8"/>
      <color indexed="17"/>
      <name val="Tahoma"/>
      <family val="2"/>
    </font>
    <font>
      <b/>
      <sz val="8"/>
      <color indexed="12"/>
      <name val="Tahoma"/>
      <family val="2"/>
    </font>
    <font>
      <b/>
      <sz val="8"/>
      <color indexed="20"/>
      <name val="Tahoma"/>
      <family val="2"/>
    </font>
    <font>
      <b/>
      <sz val="8"/>
      <color indexed="53"/>
      <name val="Tahoma"/>
      <family val="2"/>
    </font>
    <font>
      <b/>
      <sz val="8"/>
      <color indexed="10"/>
      <name val="Tahoma"/>
      <family val="2"/>
    </font>
    <font>
      <b/>
      <sz val="8"/>
      <color indexed="62"/>
      <name val="Tahoma"/>
      <family val="2"/>
    </font>
    <font>
      <sz val="8"/>
      <color indexed="62"/>
      <name val="Tahoma"/>
      <family val="2"/>
    </font>
    <font>
      <sz val="10"/>
      <color indexed="12"/>
      <name val="Arial"/>
      <family val="2"/>
    </font>
    <font>
      <b/>
      <sz val="14"/>
      <name val="Arial"/>
      <family val="2"/>
    </font>
    <font>
      <b/>
      <sz val="10"/>
      <color indexed="12"/>
      <name val="Arial"/>
      <family val="2"/>
    </font>
    <font>
      <b/>
      <sz val="9"/>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b/>
      <u/>
      <sz val="11"/>
      <name val="Arial Narrow"/>
      <family val="2"/>
    </font>
    <font>
      <sz val="11"/>
      <name val="Arial Narrow"/>
      <family val="2"/>
    </font>
    <font>
      <b/>
      <sz val="11"/>
      <color indexed="12"/>
      <name val="Arial Narrow"/>
      <family val="2"/>
    </font>
    <font>
      <b/>
      <sz val="11"/>
      <color indexed="10"/>
      <name val="Arial Narrow"/>
      <family val="2"/>
    </font>
    <font>
      <sz val="11"/>
      <color indexed="8"/>
      <name val="Arial Narrow"/>
      <family val="2"/>
    </font>
    <font>
      <u/>
      <sz val="11"/>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2"/>
      <color indexed="12"/>
      <name val="Arial Narrow"/>
      <family val="2"/>
    </font>
    <font>
      <b/>
      <u/>
      <sz val="12"/>
      <name val="Arial Narrow"/>
      <family val="2"/>
    </font>
    <font>
      <sz val="12"/>
      <color indexed="10"/>
      <name val="Arial Narrow"/>
      <family val="2"/>
    </font>
    <font>
      <b/>
      <u/>
      <sz val="14"/>
      <color indexed="9"/>
      <name val="Arial"/>
      <family val="2"/>
    </font>
    <font>
      <b/>
      <sz val="11"/>
      <name val="Arial"/>
      <family val="2"/>
    </font>
    <font>
      <b/>
      <sz val="12"/>
      <color indexed="10"/>
      <name val="Arial Narrow"/>
      <family val="2"/>
    </font>
    <font>
      <sz val="10"/>
      <name val="Arial Narrow"/>
      <family val="2"/>
    </font>
    <font>
      <sz val="10"/>
      <color indexed="9"/>
      <name val="Arial"/>
      <family val="2"/>
    </font>
    <font>
      <b/>
      <sz val="20"/>
      <color indexed="9"/>
      <name val="Arial"/>
      <family val="2"/>
    </font>
    <font>
      <b/>
      <sz val="10"/>
      <color indexed="48"/>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i/>
      <u/>
      <sz val="10"/>
      <color indexed="12"/>
      <name val="Arial"/>
      <family val="2"/>
    </font>
    <font>
      <b/>
      <sz val="16"/>
      <color indexed="9"/>
      <name val="Arial"/>
      <family val="2"/>
    </font>
    <font>
      <b/>
      <u/>
      <sz val="16"/>
      <color indexed="9"/>
      <name val="Arial"/>
      <family val="2"/>
    </font>
    <font>
      <b/>
      <u/>
      <sz val="11"/>
      <name val="Arial"/>
      <family val="2"/>
    </font>
    <font>
      <i/>
      <sz val="12"/>
      <name val="Arial"/>
      <family val="2"/>
    </font>
    <font>
      <sz val="12"/>
      <name val="Arial"/>
      <family val="2"/>
    </font>
    <font>
      <i/>
      <vertAlign val="superscript"/>
      <sz val="12"/>
      <name val="Arial"/>
      <family val="2"/>
    </font>
    <font>
      <i/>
      <sz val="11"/>
      <name val="Arial"/>
      <family val="2"/>
    </font>
    <font>
      <i/>
      <u/>
      <sz val="11"/>
      <name val="Arial"/>
      <family val="2"/>
    </font>
    <font>
      <b/>
      <sz val="10"/>
      <color indexed="9"/>
      <name val="Arial"/>
      <family val="2"/>
    </font>
    <font>
      <u/>
      <sz val="8"/>
      <name val="Arial"/>
      <family val="2"/>
    </font>
    <font>
      <i/>
      <sz val="8"/>
      <name val="Arial"/>
      <family val="2"/>
    </font>
    <font>
      <b/>
      <sz val="12"/>
      <color indexed="9"/>
      <name val="Arial"/>
      <family val="2"/>
    </font>
    <font>
      <u/>
      <sz val="8"/>
      <name val="A"/>
    </font>
    <font>
      <sz val="8"/>
      <name val="A"/>
    </font>
    <font>
      <b/>
      <u/>
      <sz val="8"/>
      <name val="Arial"/>
      <family val="2"/>
    </font>
    <font>
      <b/>
      <sz val="14"/>
      <name val="Arial Narrow"/>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10"/>
      <color theme="1"/>
      <name val="Arial"/>
      <family val="2"/>
    </font>
    <font>
      <sz val="8"/>
      <color theme="1"/>
      <name val="Arial"/>
      <family val="2"/>
    </font>
    <font>
      <b/>
      <sz val="12"/>
      <color rgb="FFFF0000"/>
      <name val="Arial Narrow"/>
      <family val="2"/>
    </font>
    <font>
      <sz val="8"/>
      <color rgb="FF000000"/>
      <name val="Tahoma"/>
      <family val="2"/>
    </font>
  </fonts>
  <fills count="28">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24"/>
        <bgColor indexed="64"/>
      </patternFill>
    </fill>
    <fill>
      <patternFill patternType="solid">
        <fgColor indexed="13"/>
        <bgColor indexed="64"/>
      </patternFill>
    </fill>
    <fill>
      <patternFill patternType="solid">
        <fgColor indexed="41"/>
        <bgColor indexed="64"/>
      </patternFill>
    </fill>
    <fill>
      <patternFill patternType="lightDown">
        <bgColor indexed="9"/>
      </patternFill>
    </fill>
    <fill>
      <patternFill patternType="lightDown"/>
    </fill>
    <fill>
      <patternFill patternType="solid">
        <fgColor indexed="65"/>
        <bgColor indexed="64"/>
      </patternFill>
    </fill>
    <fill>
      <patternFill patternType="solid">
        <fgColor indexed="48"/>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5117038483843"/>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indexed="64"/>
      </patternFill>
    </fill>
    <fill>
      <patternFill patternType="lightDown">
        <bgColor theme="0" tint="-4.9989318521683403E-2"/>
      </patternFill>
    </fill>
    <fill>
      <patternFill patternType="solid">
        <fgColor theme="4" tint="0.79998168889431442"/>
        <bgColor indexed="62"/>
      </patternFill>
    </fill>
    <fill>
      <gradientFill degree="270">
        <stop position="0">
          <color theme="3" tint="0.59999389629810485"/>
        </stop>
        <stop position="1">
          <color theme="4"/>
        </stop>
      </gradientFill>
    </fill>
  </fills>
  <borders count="161">
    <border>
      <left/>
      <right/>
      <top/>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diagonal/>
    </border>
    <border>
      <left/>
      <right style="thin">
        <color indexed="48"/>
      </right>
      <top/>
      <bottom/>
      <diagonal/>
    </border>
    <border>
      <left/>
      <right/>
      <top style="thin">
        <color indexed="48"/>
      </top>
      <bottom style="thin">
        <color indexed="48"/>
      </bottom>
      <diagonal/>
    </border>
    <border>
      <left style="double">
        <color indexed="48"/>
      </left>
      <right/>
      <top/>
      <bottom/>
      <diagonal/>
    </border>
    <border>
      <left/>
      <right style="double">
        <color indexed="48"/>
      </right>
      <top/>
      <bottom/>
      <diagonal/>
    </border>
    <border>
      <left style="double">
        <color indexed="48"/>
      </left>
      <right/>
      <top/>
      <bottom style="double">
        <color indexed="48"/>
      </bottom>
      <diagonal/>
    </border>
    <border>
      <left/>
      <right/>
      <top/>
      <bottom style="double">
        <color indexed="48"/>
      </bottom>
      <diagonal/>
    </border>
    <border>
      <left/>
      <right style="double">
        <color indexed="48"/>
      </right>
      <top/>
      <bottom style="double">
        <color indexed="48"/>
      </bottom>
      <diagonal/>
    </border>
    <border>
      <left/>
      <right/>
      <top style="double">
        <color indexed="48"/>
      </top>
      <bottom style="double">
        <color indexed="48"/>
      </bottom>
      <diagonal/>
    </border>
    <border>
      <left/>
      <right style="double">
        <color indexed="48"/>
      </right>
      <top style="double">
        <color indexed="48"/>
      </top>
      <bottom style="double">
        <color indexed="48"/>
      </bottom>
      <diagonal/>
    </border>
    <border>
      <left style="thin">
        <color indexed="48"/>
      </left>
      <right/>
      <top style="thin">
        <color indexed="48"/>
      </top>
      <bottom style="thin">
        <color indexed="48"/>
      </bottom>
      <diagonal/>
    </border>
    <border>
      <left/>
      <right style="thin">
        <color indexed="48"/>
      </right>
      <top style="thin">
        <color indexed="48"/>
      </top>
      <bottom style="thin">
        <color indexed="48"/>
      </bottom>
      <diagonal/>
    </border>
    <border>
      <left style="thin">
        <color indexed="48"/>
      </left>
      <right/>
      <top style="thin">
        <color indexed="48"/>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48"/>
      </left>
      <right style="thin">
        <color indexed="48"/>
      </right>
      <top/>
      <bottom style="thin">
        <color indexed="48"/>
      </bottom>
      <diagonal/>
    </border>
    <border>
      <left/>
      <right/>
      <top/>
      <bottom style="thin">
        <color indexed="48"/>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48"/>
      </left>
      <right/>
      <top/>
      <bottom/>
      <diagonal/>
    </border>
    <border>
      <left style="thin">
        <color indexed="64"/>
      </left>
      <right style="thin">
        <color indexed="64"/>
      </right>
      <top/>
      <bottom style="dotted">
        <color indexed="64"/>
      </bottom>
      <diagonal/>
    </border>
    <border>
      <left/>
      <right/>
      <top/>
      <bottom style="dotted">
        <color indexed="64"/>
      </bottom>
      <diagonal/>
    </border>
    <border>
      <left style="thin">
        <color indexed="64"/>
      </left>
      <right/>
      <top/>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ashed">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48"/>
      </left>
      <right/>
      <top style="double">
        <color indexed="48"/>
      </top>
      <bottom style="medium">
        <color indexed="64"/>
      </bottom>
      <diagonal/>
    </border>
    <border>
      <left/>
      <right/>
      <top style="double">
        <color indexed="48"/>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48"/>
      </left>
      <right/>
      <top style="double">
        <color indexed="48"/>
      </top>
      <bottom style="double">
        <color indexed="48"/>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theme="3" tint="0.39994506668294322"/>
      </left>
      <right style="thin">
        <color theme="3" tint="0.39994506668294322"/>
      </right>
      <top/>
      <bottom/>
      <diagonal/>
    </border>
    <border>
      <left style="double">
        <color theme="3" tint="0.39994506668294322"/>
      </left>
      <right style="thin">
        <color indexed="64"/>
      </right>
      <top/>
      <bottom/>
      <diagonal/>
    </border>
    <border>
      <left/>
      <right style="double">
        <color theme="3" tint="0.39994506668294322"/>
      </right>
      <top/>
      <bottom/>
      <diagonal/>
    </border>
    <border>
      <left style="double">
        <color theme="3" tint="0.39994506668294322"/>
      </left>
      <right/>
      <top/>
      <bottom/>
      <diagonal/>
    </border>
    <border>
      <left/>
      <right style="double">
        <color theme="3" tint="0.39994506668294322"/>
      </right>
      <top/>
      <bottom style="dotted">
        <color indexed="64"/>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style="thin">
        <color indexed="64"/>
      </top>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style="thin">
        <color rgb="FF0070C0"/>
      </left>
      <right style="thin">
        <color rgb="FF0070C0"/>
      </right>
      <top/>
      <bottom style="thin">
        <color rgb="FF0070C0"/>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right style="thin">
        <color theme="3" tint="0.39994506668294322"/>
      </right>
      <top style="thin">
        <color theme="3" tint="0.39994506668294322"/>
      </top>
      <bottom/>
      <diagonal/>
    </border>
    <border>
      <left style="double">
        <color theme="3" tint="0.39994506668294322"/>
      </left>
      <right/>
      <top style="double">
        <color theme="3" tint="0.39994506668294322"/>
      </top>
      <bottom/>
      <diagonal/>
    </border>
    <border>
      <left/>
      <right/>
      <top style="double">
        <color theme="3" tint="0.39994506668294322"/>
      </top>
      <bottom/>
      <diagonal/>
    </border>
    <border>
      <left style="thin">
        <color indexed="64"/>
      </left>
      <right style="double">
        <color theme="3" tint="0.39994506668294322"/>
      </right>
      <top style="thin">
        <color indexed="64"/>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3" tint="0.39994506668294322"/>
      </left>
      <right/>
      <top style="medium">
        <color theme="3" tint="0.39994506668294322"/>
      </top>
      <bottom style="medium">
        <color theme="3" tint="0.39994506668294322"/>
      </bottom>
      <diagonal/>
    </border>
    <border>
      <left/>
      <right/>
      <top style="medium">
        <color theme="3" tint="0.39994506668294322"/>
      </top>
      <bottom style="medium">
        <color theme="3" tint="0.39994506668294322"/>
      </bottom>
      <diagonal/>
    </border>
    <border>
      <left/>
      <right style="medium">
        <color theme="3" tint="0.39994506668294322"/>
      </right>
      <top style="medium">
        <color theme="3" tint="0.39994506668294322"/>
      </top>
      <bottom style="medium">
        <color theme="3" tint="0.39994506668294322"/>
      </bottom>
      <diagonal/>
    </border>
    <border>
      <left/>
      <right style="double">
        <color theme="3" tint="0.39991454817346722"/>
      </right>
      <top style="double">
        <color theme="3" tint="0.39994506668294322"/>
      </top>
      <bottom/>
      <diagonal/>
    </border>
    <border>
      <left/>
      <right style="double">
        <color theme="3" tint="0.39991454817346722"/>
      </right>
      <top/>
      <bottom style="double">
        <color theme="3" tint="0.39994506668294322"/>
      </bottom>
      <diagonal/>
    </border>
    <border>
      <left style="thin">
        <color rgb="FF0070C0"/>
      </left>
      <right/>
      <top/>
      <bottom style="thin">
        <color rgb="FF0070C0"/>
      </bottom>
      <diagonal/>
    </border>
    <border>
      <left/>
      <right style="thin">
        <color rgb="FF0070C0"/>
      </right>
      <top/>
      <bottom style="thin">
        <color rgb="FF0070C0"/>
      </bottom>
      <diagonal/>
    </border>
  </borders>
  <cellStyleXfs count="7">
    <xf numFmtId="0" fontId="0" fillId="0" borderId="0"/>
    <xf numFmtId="43" fontId="1"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alignment vertical="top"/>
      <protection locked="0"/>
    </xf>
    <xf numFmtId="0" fontId="19" fillId="0" borderId="0"/>
    <xf numFmtId="0" fontId="115" fillId="0" borderId="0"/>
  </cellStyleXfs>
  <cellXfs count="1091">
    <xf numFmtId="0" fontId="0" fillId="0" borderId="0" xfId="0"/>
    <xf numFmtId="0" fontId="5" fillId="0" borderId="0" xfId="0" applyFont="1"/>
    <xf numFmtId="0" fontId="5" fillId="2" borderId="0" xfId="0" applyFont="1" applyFill="1" applyBorder="1"/>
    <xf numFmtId="0" fontId="7" fillId="2" borderId="0" xfId="0" applyFont="1" applyFill="1" applyBorder="1" applyProtection="1"/>
    <xf numFmtId="0" fontId="5" fillId="2" borderId="0" xfId="0" applyFont="1" applyFill="1" applyBorder="1" applyProtection="1"/>
    <xf numFmtId="2" fontId="5" fillId="2" borderId="0" xfId="0" applyNumberFormat="1" applyFont="1" applyFill="1" applyBorder="1" applyProtection="1"/>
    <xf numFmtId="0" fontId="7" fillId="2" borderId="1" xfId="0" applyFont="1" applyFill="1" applyBorder="1" applyProtection="1"/>
    <xf numFmtId="0" fontId="5" fillId="2" borderId="1" xfId="0" applyFont="1" applyFill="1" applyBorder="1" applyProtection="1"/>
    <xf numFmtId="0" fontId="5" fillId="2" borderId="1" xfId="0" applyFont="1" applyFill="1" applyBorder="1" applyAlignment="1" applyProtection="1">
      <alignment horizontal="left"/>
    </xf>
    <xf numFmtId="0" fontId="7" fillId="2" borderId="0" xfId="0" applyFont="1" applyFill="1" applyBorder="1" applyAlignment="1" applyProtection="1">
      <alignment horizontal="right"/>
    </xf>
    <xf numFmtId="0" fontId="7" fillId="2" borderId="1" xfId="0" applyFont="1" applyFill="1" applyBorder="1" applyAlignment="1" applyProtection="1">
      <alignment horizontal="left"/>
    </xf>
    <xf numFmtId="2" fontId="5" fillId="2" borderId="1" xfId="0" applyNumberFormat="1" applyFont="1" applyFill="1" applyBorder="1" applyProtection="1"/>
    <xf numFmtId="0" fontId="7" fillId="2" borderId="0" xfId="0" applyFont="1" applyFill="1" applyBorder="1" applyAlignment="1" applyProtection="1">
      <alignment horizontal="left"/>
    </xf>
    <xf numFmtId="0" fontId="5" fillId="2" borderId="0" xfId="0" applyFont="1" applyFill="1" applyBorder="1" applyAlignment="1" applyProtection="1">
      <alignment horizontal="left"/>
    </xf>
    <xf numFmtId="2" fontId="7" fillId="2" borderId="0" xfId="0" applyNumberFormat="1" applyFont="1" applyFill="1" applyBorder="1" applyAlignment="1" applyProtection="1">
      <alignment horizontal="right"/>
    </xf>
    <xf numFmtId="2" fontId="7" fillId="2" borderId="1" xfId="0" applyNumberFormat="1" applyFont="1" applyFill="1" applyBorder="1" applyProtection="1"/>
    <xf numFmtId="2" fontId="7" fillId="2" borderId="0" xfId="0" applyNumberFormat="1" applyFont="1" applyFill="1" applyBorder="1" applyProtection="1"/>
    <xf numFmtId="0" fontId="5" fillId="0" borderId="0" xfId="0" applyFont="1" applyBorder="1" applyProtection="1"/>
    <xf numFmtId="0" fontId="5" fillId="0" borderId="0" xfId="0" applyFont="1" applyFill="1"/>
    <xf numFmtId="0" fontId="13" fillId="0" borderId="0" xfId="0" applyFont="1" applyFill="1"/>
    <xf numFmtId="4" fontId="5" fillId="2" borderId="0" xfId="0" applyNumberFormat="1" applyFont="1" applyFill="1" applyBorder="1" applyProtection="1"/>
    <xf numFmtId="3" fontId="5" fillId="2" borderId="0" xfId="0" applyNumberFormat="1" applyFont="1" applyFill="1" applyBorder="1" applyProtection="1"/>
    <xf numFmtId="2" fontId="5" fillId="3" borderId="2" xfId="0" applyNumberFormat="1" applyFont="1" applyFill="1" applyBorder="1" applyProtection="1"/>
    <xf numFmtId="0" fontId="7" fillId="2" borderId="3" xfId="0" applyFont="1" applyFill="1" applyBorder="1" applyProtection="1"/>
    <xf numFmtId="0" fontId="5" fillId="0" borderId="0" xfId="0" applyFont="1" applyFill="1" applyBorder="1" applyProtection="1"/>
    <xf numFmtId="0" fontId="19" fillId="2" borderId="0" xfId="0" applyFont="1" applyFill="1" applyBorder="1" applyAlignment="1"/>
    <xf numFmtId="0" fontId="23" fillId="2" borderId="0" xfId="0" applyFont="1" applyFill="1" applyBorder="1" applyAlignment="1" applyProtection="1">
      <alignment horizontal="left"/>
    </xf>
    <xf numFmtId="167" fontId="5" fillId="3" borderId="2" xfId="0" applyNumberFormat="1" applyFont="1" applyFill="1" applyBorder="1" applyProtection="1"/>
    <xf numFmtId="0" fontId="5" fillId="2" borderId="4" xfId="0" applyFont="1" applyFill="1" applyBorder="1" applyProtection="1"/>
    <xf numFmtId="0" fontId="7" fillId="2" borderId="5" xfId="0" applyFont="1" applyFill="1" applyBorder="1" applyAlignment="1" applyProtection="1">
      <alignment horizontal="left"/>
    </xf>
    <xf numFmtId="2" fontId="7" fillId="2" borderId="5" xfId="0" applyNumberFormat="1" applyFont="1" applyFill="1" applyBorder="1" applyProtection="1"/>
    <xf numFmtId="0" fontId="5" fillId="0" borderId="0" xfId="0" applyFont="1" applyProtection="1"/>
    <xf numFmtId="0" fontId="9" fillId="0" borderId="0" xfId="0" applyFont="1" applyProtection="1"/>
    <xf numFmtId="0" fontId="5" fillId="0" borderId="0" xfId="0" applyFont="1" applyFill="1" applyProtection="1"/>
    <xf numFmtId="0" fontId="12" fillId="0" borderId="0" xfId="4" applyFont="1" applyAlignment="1" applyProtection="1"/>
    <xf numFmtId="4" fontId="5" fillId="3" borderId="2" xfId="0" applyNumberFormat="1" applyFont="1" applyFill="1" applyBorder="1" applyProtection="1"/>
    <xf numFmtId="1" fontId="5" fillId="3" borderId="2" xfId="0" applyNumberFormat="1" applyFont="1" applyFill="1" applyBorder="1" applyProtection="1"/>
    <xf numFmtId="166" fontId="5" fillId="2" borderId="0" xfId="0" applyNumberFormat="1" applyFont="1" applyFill="1" applyBorder="1" applyProtection="1"/>
    <xf numFmtId="166" fontId="5" fillId="3" borderId="2" xfId="0" applyNumberFormat="1" applyFont="1" applyFill="1" applyBorder="1" applyProtection="1"/>
    <xf numFmtId="0" fontId="23" fillId="2" borderId="0" xfId="0" applyFont="1" applyFill="1" applyBorder="1" applyProtection="1"/>
    <xf numFmtId="49" fontId="29" fillId="2" borderId="0" xfId="0" applyNumberFormat="1" applyFont="1" applyFill="1" applyBorder="1" applyAlignment="1" applyProtection="1">
      <alignment horizontal="right"/>
    </xf>
    <xf numFmtId="0" fontId="8" fillId="2" borderId="0" xfId="0" applyFont="1" applyFill="1" applyBorder="1" applyAlignment="1" applyProtection="1">
      <alignment wrapText="1"/>
    </xf>
    <xf numFmtId="0" fontId="5" fillId="4" borderId="0" xfId="0" applyFont="1" applyFill="1" applyProtection="1"/>
    <xf numFmtId="0" fontId="5" fillId="2" borderId="6" xfId="0" applyFont="1" applyFill="1" applyBorder="1" applyProtection="1"/>
    <xf numFmtId="0" fontId="5" fillId="2" borderId="7" xfId="0" applyFont="1" applyFill="1" applyBorder="1" applyProtection="1"/>
    <xf numFmtId="0" fontId="5" fillId="2" borderId="5" xfId="0" applyFont="1" applyFill="1" applyBorder="1" applyProtection="1"/>
    <xf numFmtId="0" fontId="5" fillId="2" borderId="0" xfId="0" applyFont="1" applyFill="1" applyBorder="1" applyAlignment="1" applyProtection="1">
      <alignment horizontal="right"/>
    </xf>
    <xf numFmtId="0" fontId="5" fillId="2" borderId="8" xfId="0" applyFont="1" applyFill="1" applyBorder="1" applyProtection="1"/>
    <xf numFmtId="0" fontId="5" fillId="2" borderId="9" xfId="0" applyFont="1" applyFill="1" applyBorder="1" applyProtection="1"/>
    <xf numFmtId="0" fontId="5" fillId="2" borderId="10" xfId="0" applyFont="1" applyFill="1" applyBorder="1" applyProtection="1"/>
    <xf numFmtId="0" fontId="5" fillId="2" borderId="11" xfId="0" applyFont="1" applyFill="1" applyBorder="1" applyAlignment="1" applyProtection="1">
      <alignment vertical="center"/>
    </xf>
    <xf numFmtId="0" fontId="5" fillId="2" borderId="12" xfId="0" applyFont="1" applyFill="1" applyBorder="1" applyAlignment="1" applyProtection="1">
      <alignment vertical="center"/>
    </xf>
    <xf numFmtId="0" fontId="6" fillId="2" borderId="0" xfId="0" applyFont="1" applyFill="1" applyBorder="1" applyProtection="1"/>
    <xf numFmtId="0" fontId="16" fillId="2" borderId="4" xfId="0" applyFont="1" applyFill="1" applyBorder="1" applyAlignment="1" applyProtection="1">
      <alignment horizontal="right"/>
    </xf>
    <xf numFmtId="0" fontId="7" fillId="2" borderId="13" xfId="0" applyFont="1" applyFill="1" applyBorder="1" applyProtection="1"/>
    <xf numFmtId="0" fontId="7" fillId="2" borderId="5" xfId="0" applyFont="1" applyFill="1" applyBorder="1" applyProtection="1"/>
    <xf numFmtId="0" fontId="5" fillId="2" borderId="14" xfId="0" applyFont="1" applyFill="1" applyBorder="1" applyProtection="1"/>
    <xf numFmtId="0" fontId="16" fillId="2" borderId="0" xfId="0" applyFont="1" applyFill="1" applyBorder="1" applyAlignment="1" applyProtection="1">
      <alignment horizontal="right"/>
    </xf>
    <xf numFmtId="0" fontId="7" fillId="2" borderId="15" xfId="0" applyFont="1" applyFill="1" applyBorder="1" applyProtection="1"/>
    <xf numFmtId="0" fontId="5" fillId="2" borderId="3" xfId="0" applyFont="1" applyFill="1" applyBorder="1" applyProtection="1"/>
    <xf numFmtId="0" fontId="1" fillId="2" borderId="0" xfId="0" applyFont="1" applyFill="1" applyAlignment="1" applyProtection="1">
      <alignment horizontal="center" wrapText="1"/>
    </xf>
    <xf numFmtId="0" fontId="28" fillId="2" borderId="0" xfId="0" applyFont="1" applyFill="1" applyAlignment="1" applyProtection="1">
      <alignment horizontal="center"/>
    </xf>
    <xf numFmtId="0" fontId="0" fillId="2" borderId="0" xfId="0" applyFill="1" applyBorder="1" applyAlignment="1" applyProtection="1"/>
    <xf numFmtId="0" fontId="5" fillId="2" borderId="0" xfId="0" applyFont="1" applyFill="1" applyProtection="1"/>
    <xf numFmtId="2" fontId="5" fillId="2" borderId="5" xfId="0" applyNumberFormat="1" applyFont="1" applyFill="1" applyBorder="1" applyProtection="1"/>
    <xf numFmtId="0" fontId="7" fillId="2" borderId="5" xfId="0" applyFont="1" applyFill="1" applyBorder="1" applyAlignment="1" applyProtection="1">
      <alignment horizontal="right"/>
    </xf>
    <xf numFmtId="0" fontId="25" fillId="2" borderId="0" xfId="0" applyFont="1" applyFill="1" applyProtection="1"/>
    <xf numFmtId="0" fontId="5" fillId="2" borderId="0" xfId="0" applyFont="1" applyFill="1" applyBorder="1" applyAlignment="1" applyProtection="1">
      <alignment horizontal="center"/>
    </xf>
    <xf numFmtId="0" fontId="25" fillId="2" borderId="0" xfId="0" applyFont="1" applyFill="1" applyAlignment="1" applyProtection="1">
      <alignment horizontal="center" vertical="center"/>
    </xf>
    <xf numFmtId="0" fontId="17" fillId="2" borderId="0" xfId="0" applyFont="1" applyFill="1" applyBorder="1" applyAlignment="1" applyProtection="1">
      <alignment horizontal="left"/>
    </xf>
    <xf numFmtId="2" fontId="5" fillId="2" borderId="0" xfId="0" applyNumberFormat="1" applyFont="1" applyFill="1" applyBorder="1" applyAlignment="1" applyProtection="1">
      <alignment horizontal="right"/>
    </xf>
    <xf numFmtId="0" fontId="0" fillId="2" borderId="0" xfId="0" applyFill="1" applyAlignment="1" applyProtection="1"/>
    <xf numFmtId="0" fontId="7" fillId="2" borderId="1" xfId="0" applyFont="1" applyFill="1" applyBorder="1" applyAlignment="1" applyProtection="1">
      <alignment horizontal="right"/>
    </xf>
    <xf numFmtId="3" fontId="7" fillId="2" borderId="0" xfId="0" applyNumberFormat="1" applyFont="1" applyFill="1" applyBorder="1" applyProtection="1"/>
    <xf numFmtId="4" fontId="7" fillId="2" borderId="0" xfId="0" applyNumberFormat="1" applyFont="1" applyFill="1" applyBorder="1" applyProtection="1"/>
    <xf numFmtId="0" fontId="9" fillId="2" borderId="0" xfId="0" applyFont="1" applyFill="1" applyBorder="1" applyAlignment="1" applyProtection="1">
      <alignment horizontal="right"/>
    </xf>
    <xf numFmtId="2" fontId="16" fillId="2" borderId="0" xfId="0" applyNumberFormat="1" applyFont="1" applyFill="1" applyBorder="1" applyAlignment="1" applyProtection="1">
      <alignment horizontal="left"/>
    </xf>
    <xf numFmtId="2" fontId="7" fillId="2" borderId="0" xfId="0" applyNumberFormat="1" applyFont="1" applyFill="1" applyBorder="1" applyAlignment="1" applyProtection="1">
      <alignment horizontal="left"/>
    </xf>
    <xf numFmtId="0" fontId="17" fillId="2" borderId="0" xfId="0" applyFont="1" applyFill="1" applyBorder="1" applyProtection="1"/>
    <xf numFmtId="0" fontId="5" fillId="2" borderId="0" xfId="0" quotePrefix="1" applyFont="1" applyFill="1" applyBorder="1" applyProtection="1"/>
    <xf numFmtId="10" fontId="5" fillId="0" borderId="0" xfId="0" applyNumberFormat="1" applyFont="1" applyFill="1" applyBorder="1" applyProtection="1"/>
    <xf numFmtId="0" fontId="28"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1" fillId="0" borderId="16" xfId="1" applyNumberFormat="1" applyBorder="1" applyProtection="1">
      <protection hidden="1"/>
    </xf>
    <xf numFmtId="0" fontId="0" fillId="0" borderId="16"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7" fillId="2" borderId="0" xfId="0" applyFont="1" applyFill="1" applyBorder="1" applyAlignment="1" applyProtection="1">
      <alignment horizontal="right" vertical="center"/>
    </xf>
    <xf numFmtId="0" fontId="5" fillId="4" borderId="0" xfId="0" applyFont="1" applyFill="1"/>
    <xf numFmtId="1" fontId="5" fillId="4" borderId="0" xfId="0" applyNumberFormat="1" applyFont="1" applyFill="1" applyBorder="1" applyProtection="1"/>
    <xf numFmtId="0" fontId="0" fillId="0" borderId="17" xfId="0" applyBorder="1" applyProtection="1">
      <protection hidden="1"/>
    </xf>
    <xf numFmtId="0" fontId="0" fillId="0" borderId="18" xfId="0" applyBorder="1" applyProtection="1">
      <protection hidden="1"/>
    </xf>
    <xf numFmtId="0" fontId="28" fillId="0" borderId="19" xfId="0" applyFont="1" applyBorder="1" applyProtection="1">
      <protection hidden="1"/>
    </xf>
    <xf numFmtId="0" fontId="0" fillId="0" borderId="20" xfId="0" applyBorder="1" applyProtection="1">
      <protection hidden="1"/>
    </xf>
    <xf numFmtId="164" fontId="0" fillId="0" borderId="0" xfId="0" applyNumberFormat="1" applyProtection="1">
      <protection hidden="1"/>
    </xf>
    <xf numFmtId="0" fontId="0" fillId="5" borderId="21" xfId="0" applyFill="1" applyBorder="1" applyProtection="1">
      <protection hidden="1"/>
    </xf>
    <xf numFmtId="0" fontId="25" fillId="2" borderId="0" xfId="0" applyFont="1" applyFill="1" applyBorder="1" applyProtection="1"/>
    <xf numFmtId="0" fontId="0" fillId="5" borderId="0" xfId="0" quotePrefix="1" applyFill="1" applyProtection="1">
      <protection hidden="1"/>
    </xf>
    <xf numFmtId="0" fontId="0" fillId="5" borderId="0" xfId="0" applyFill="1" applyProtection="1">
      <protection hidden="1"/>
    </xf>
    <xf numFmtId="0" fontId="0" fillId="6" borderId="0" xfId="0" applyFill="1" applyProtection="1">
      <protection hidden="1"/>
    </xf>
    <xf numFmtId="0" fontId="0" fillId="7" borderId="0" xfId="0" applyFill="1" applyProtection="1">
      <protection hidden="1"/>
    </xf>
    <xf numFmtId="0" fontId="5" fillId="2" borderId="0" xfId="0" applyFont="1" applyFill="1" applyAlignment="1" applyProtection="1">
      <alignment horizontal="left"/>
    </xf>
    <xf numFmtId="0" fontId="5" fillId="2" borderId="0" xfId="0" applyFont="1" applyFill="1" applyBorder="1" applyAlignment="1" applyProtection="1">
      <alignment vertical="center"/>
    </xf>
    <xf numFmtId="0" fontId="5" fillId="2" borderId="0" xfId="0" applyFont="1" applyFill="1" applyAlignment="1" applyProtection="1">
      <alignment horizontal="center"/>
    </xf>
    <xf numFmtId="4" fontId="5" fillId="3" borderId="2" xfId="0" applyNumberFormat="1" applyFont="1" applyFill="1" applyBorder="1" applyAlignment="1" applyProtection="1">
      <alignment vertical="center"/>
    </xf>
    <xf numFmtId="168" fontId="5" fillId="3" borderId="2" xfId="0" applyNumberFormat="1" applyFont="1" applyFill="1" applyBorder="1" applyProtection="1"/>
    <xf numFmtId="0" fontId="35" fillId="2" borderId="0" xfId="0" applyFont="1" applyFill="1" applyBorder="1" applyAlignment="1" applyProtection="1">
      <alignment horizontal="left"/>
    </xf>
    <xf numFmtId="10" fontId="5" fillId="8" borderId="2" xfId="0" applyNumberFormat="1" applyFont="1" applyFill="1" applyBorder="1" applyAlignment="1" applyProtection="1">
      <alignment horizontal="right" shrinkToFit="1"/>
    </xf>
    <xf numFmtId="164" fontId="0" fillId="5" borderId="22" xfId="0" applyNumberFormat="1" applyFill="1" applyBorder="1" applyProtection="1">
      <protection hidden="1"/>
    </xf>
    <xf numFmtId="164" fontId="0" fillId="5" borderId="21" xfId="0" applyNumberFormat="1" applyFill="1" applyBorder="1" applyProtection="1">
      <protection hidden="1"/>
    </xf>
    <xf numFmtId="164" fontId="0" fillId="5" borderId="23" xfId="0" applyNumberFormat="1" applyFill="1" applyBorder="1" applyProtection="1">
      <protection hidden="1"/>
    </xf>
    <xf numFmtId="0" fontId="28" fillId="9" borderId="24" xfId="0" applyFont="1" applyFill="1" applyBorder="1" applyAlignment="1" applyProtection="1">
      <alignment horizontal="center"/>
      <protection hidden="1"/>
    </xf>
    <xf numFmtId="0" fontId="0" fillId="0" borderId="0" xfId="0" applyAlignment="1" applyProtection="1">
      <alignment horizontal="center"/>
      <protection hidden="1"/>
    </xf>
    <xf numFmtId="0" fontId="35" fillId="0" borderId="0" xfId="0" applyFont="1" applyProtection="1">
      <protection hidden="1"/>
    </xf>
    <xf numFmtId="171" fontId="0" fillId="0" borderId="0" xfId="0" applyNumberFormat="1" applyProtection="1">
      <protection hidden="1"/>
    </xf>
    <xf numFmtId="0" fontId="28" fillId="0" borderId="0" xfId="0" quotePrefix="1" applyFont="1" applyFill="1" applyBorder="1" applyAlignment="1" applyProtection="1">
      <alignment horizontal="center"/>
      <protection hidden="1"/>
    </xf>
    <xf numFmtId="0" fontId="0" fillId="10" borderId="24" xfId="0" applyFill="1" applyBorder="1" applyAlignment="1" applyProtection="1">
      <alignment horizontal="center"/>
      <protection hidden="1"/>
    </xf>
    <xf numFmtId="0" fontId="28" fillId="0" borderId="0" xfId="0" quotePrefix="1" applyFont="1" applyFill="1" applyBorder="1" applyAlignment="1" applyProtection="1">
      <alignment horizontal="center" vertical="center"/>
      <protection hidden="1"/>
    </xf>
    <xf numFmtId="0" fontId="28" fillId="3" borderId="24" xfId="0" applyFont="1" applyFill="1" applyBorder="1" applyAlignment="1" applyProtection="1">
      <alignment horizontal="center" vertical="center"/>
      <protection hidden="1"/>
    </xf>
    <xf numFmtId="0" fontId="28" fillId="5" borderId="24" xfId="0" applyFont="1" applyFill="1" applyBorder="1" applyAlignment="1" applyProtection="1">
      <alignment horizontal="center" vertical="center" shrinkToFit="1"/>
      <protection locked="0" hidden="1"/>
    </xf>
    <xf numFmtId="1" fontId="5" fillId="4" borderId="0" xfId="0" applyNumberFormat="1" applyFont="1" applyFill="1" applyProtection="1"/>
    <xf numFmtId="1" fontId="7" fillId="2" borderId="0" xfId="0" applyNumberFormat="1" applyFont="1" applyFill="1" applyBorder="1" applyProtection="1"/>
    <xf numFmtId="1" fontId="7" fillId="2" borderId="5" xfId="0" applyNumberFormat="1" applyFont="1" applyFill="1" applyBorder="1" applyProtection="1"/>
    <xf numFmtId="1" fontId="1" fillId="2" borderId="0" xfId="0" applyNumberFormat="1" applyFont="1" applyFill="1" applyAlignment="1" applyProtection="1">
      <alignment horizontal="center" wrapText="1"/>
    </xf>
    <xf numFmtId="1" fontId="7" fillId="2" borderId="1" xfId="0" applyNumberFormat="1" applyFont="1" applyFill="1" applyBorder="1" applyProtection="1"/>
    <xf numFmtId="1" fontId="27" fillId="2" borderId="0" xfId="0" applyNumberFormat="1" applyFont="1" applyFill="1" applyBorder="1" applyProtection="1"/>
    <xf numFmtId="1" fontId="31" fillId="2" borderId="0" xfId="0" applyNumberFormat="1" applyFont="1" applyFill="1" applyBorder="1" applyAlignment="1" applyProtection="1">
      <alignment horizontal="left"/>
    </xf>
    <xf numFmtId="1" fontId="31" fillId="2" borderId="1" xfId="0" applyNumberFormat="1" applyFont="1" applyFill="1" applyBorder="1" applyAlignment="1" applyProtection="1">
      <alignment horizontal="left"/>
    </xf>
    <xf numFmtId="1" fontId="31" fillId="2" borderId="0" xfId="0" applyNumberFormat="1" applyFont="1" applyFill="1" applyBorder="1" applyProtection="1"/>
    <xf numFmtId="1" fontId="31" fillId="2" borderId="0" xfId="0" applyNumberFormat="1" applyFont="1" applyFill="1" applyBorder="1" applyAlignment="1" applyProtection="1">
      <alignment horizontal="right"/>
    </xf>
    <xf numFmtId="1" fontId="31" fillId="2" borderId="1" xfId="0" applyNumberFormat="1" applyFont="1" applyFill="1" applyBorder="1" applyAlignment="1" applyProtection="1">
      <alignment horizontal="right"/>
    </xf>
    <xf numFmtId="1" fontId="7" fillId="2" borderId="0" xfId="0" applyNumberFormat="1" applyFont="1" applyFill="1" applyBorder="1" applyAlignment="1" applyProtection="1">
      <alignment horizontal="left"/>
    </xf>
    <xf numFmtId="1" fontId="7" fillId="2" borderId="0" xfId="0" applyNumberFormat="1" applyFont="1" applyFill="1" applyBorder="1" applyAlignment="1" applyProtection="1">
      <alignment horizontal="right" vertical="center"/>
    </xf>
    <xf numFmtId="1" fontId="5" fillId="0" borderId="0" xfId="0" applyNumberFormat="1" applyFont="1" applyFill="1" applyBorder="1" applyProtection="1"/>
    <xf numFmtId="0" fontId="0" fillId="2" borderId="0" xfId="0" applyFill="1"/>
    <xf numFmtId="0" fontId="0" fillId="2" borderId="0" xfId="0" applyFill="1" applyAlignment="1">
      <alignment horizontal="center"/>
    </xf>
    <xf numFmtId="0" fontId="0" fillId="0" borderId="24" xfId="0" applyBorder="1" applyAlignment="1">
      <alignment horizontal="center"/>
    </xf>
    <xf numFmtId="0" fontId="28" fillId="0" borderId="25"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5" fillId="0" borderId="0" xfId="0" applyFont="1" applyFill="1" applyBorder="1" applyAlignment="1" applyProtection="1">
      <alignment horizontal="right"/>
    </xf>
    <xf numFmtId="0" fontId="41" fillId="0" borderId="0" xfId="0" applyFont="1"/>
    <xf numFmtId="0" fontId="0" fillId="0" borderId="25" xfId="0" applyBorder="1"/>
    <xf numFmtId="0" fontId="23" fillId="2" borderId="0" xfId="0" applyFont="1" applyFill="1"/>
    <xf numFmtId="0" fontId="9" fillId="2" borderId="0" xfId="0" applyFont="1" applyFill="1" applyBorder="1" applyAlignment="1" applyProtection="1">
      <alignment horizontal="left" vertical="top"/>
    </xf>
    <xf numFmtId="0" fontId="5" fillId="4" borderId="0" xfId="0" applyFont="1" applyFill="1" applyAlignment="1" applyProtection="1">
      <alignment horizontal="center"/>
    </xf>
    <xf numFmtId="0" fontId="9" fillId="2" borderId="0"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5" fillId="2" borderId="0" xfId="0" quotePrefix="1" applyFont="1" applyFill="1" applyBorder="1" applyAlignment="1" applyProtection="1">
      <alignment horizontal="center"/>
    </xf>
    <xf numFmtId="0" fontId="5" fillId="2" borderId="7" xfId="0" applyFont="1" applyFill="1" applyBorder="1" applyAlignment="1" applyProtection="1">
      <alignment horizontal="center"/>
    </xf>
    <xf numFmtId="0" fontId="5" fillId="0" borderId="0" xfId="0" applyFont="1" applyAlignment="1" applyProtection="1">
      <alignment horizontal="center"/>
    </xf>
    <xf numFmtId="2" fontId="2" fillId="2" borderId="9" xfId="4" applyNumberFormat="1" applyFill="1" applyBorder="1" applyAlignment="1" applyProtection="1">
      <alignment horizontal="left"/>
    </xf>
    <xf numFmtId="0" fontId="7" fillId="2" borderId="9" xfId="0" applyFont="1" applyFill="1" applyBorder="1" applyProtection="1"/>
    <xf numFmtId="1" fontId="7" fillId="2" borderId="9" xfId="0" applyNumberFormat="1" applyFont="1" applyFill="1" applyBorder="1" applyProtection="1"/>
    <xf numFmtId="0" fontId="5" fillId="4" borderId="0" xfId="0" applyFont="1" applyFill="1" applyAlignment="1" applyProtection="1">
      <alignment vertical="center"/>
    </xf>
    <xf numFmtId="0" fontId="11" fillId="2" borderId="0" xfId="0" applyFont="1" applyFill="1" applyBorder="1" applyAlignment="1" applyProtection="1">
      <alignment vertical="center"/>
    </xf>
    <xf numFmtId="0" fontId="5" fillId="2" borderId="0" xfId="0" quotePrefix="1" applyFont="1" applyFill="1" applyBorder="1" applyAlignment="1" applyProtection="1">
      <alignment vertical="center"/>
    </xf>
    <xf numFmtId="0" fontId="5" fillId="2" borderId="7" xfId="0" applyFont="1" applyFill="1" applyBorder="1" applyAlignment="1" applyProtection="1">
      <alignment vertical="center"/>
    </xf>
    <xf numFmtId="0" fontId="5" fillId="0" borderId="0" xfId="0" applyFont="1" applyAlignment="1" applyProtection="1">
      <alignment vertical="center"/>
    </xf>
    <xf numFmtId="0" fontId="0" fillId="4" borderId="26" xfId="0" applyFill="1" applyBorder="1" applyAlignment="1">
      <alignment horizontal="center"/>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23" fillId="2" borderId="0" xfId="0" applyFont="1" applyFill="1" applyBorder="1"/>
    <xf numFmtId="0" fontId="23" fillId="2" borderId="0" xfId="0" applyFont="1" applyFill="1" applyBorder="1" applyAlignment="1"/>
    <xf numFmtId="0" fontId="23" fillId="0" borderId="0" xfId="0" applyFont="1"/>
    <xf numFmtId="0" fontId="23" fillId="2" borderId="0" xfId="0" applyFont="1" applyFill="1" applyAlignment="1">
      <alignment horizontal="center"/>
    </xf>
    <xf numFmtId="2" fontId="15" fillId="2" borderId="0" xfId="0" applyNumberFormat="1" applyFont="1" applyFill="1" applyBorder="1" applyAlignment="1" applyProtection="1">
      <alignment horizontal="center"/>
    </xf>
    <xf numFmtId="0" fontId="15" fillId="2" borderId="0" xfId="0" applyFont="1" applyFill="1" applyBorder="1" applyAlignment="1" applyProtection="1">
      <alignment horizontal="center" vertical="center"/>
    </xf>
    <xf numFmtId="0" fontId="19" fillId="0" borderId="0" xfId="0" applyFont="1" applyProtection="1"/>
    <xf numFmtId="1" fontId="49" fillId="2" borderId="0" xfId="0" applyNumberFormat="1" applyFont="1" applyFill="1" applyBorder="1" applyAlignment="1" applyProtection="1">
      <alignment horizontal="center" vertical="center"/>
    </xf>
    <xf numFmtId="0" fontId="50" fillId="0" borderId="0" xfId="0" applyFont="1" applyFill="1" applyBorder="1" applyAlignment="1" applyProtection="1">
      <alignment horizontal="center"/>
    </xf>
    <xf numFmtId="1" fontId="53" fillId="2" borderId="0" xfId="0" applyNumberFormat="1" applyFont="1" applyFill="1" applyBorder="1" applyAlignment="1" applyProtection="1">
      <alignment horizontal="left"/>
    </xf>
    <xf numFmtId="1" fontId="53" fillId="2" borderId="1" xfId="0" applyNumberFormat="1" applyFont="1" applyFill="1" applyBorder="1" applyAlignment="1" applyProtection="1">
      <alignment horizontal="left"/>
    </xf>
    <xf numFmtId="1" fontId="53" fillId="2" borderId="0" xfId="0" applyNumberFormat="1" applyFont="1" applyFill="1" applyBorder="1" applyProtection="1"/>
    <xf numFmtId="0" fontId="9" fillId="2" borderId="0" xfId="0" applyFont="1" applyFill="1" applyBorder="1" applyProtection="1"/>
    <xf numFmtId="0" fontId="9" fillId="2" borderId="1" xfId="0" quotePrefix="1" applyFont="1" applyFill="1" applyBorder="1" applyAlignment="1" applyProtection="1"/>
    <xf numFmtId="0" fontId="9" fillId="2" borderId="1" xfId="0" applyFont="1" applyFill="1" applyBorder="1" applyAlignment="1" applyProtection="1"/>
    <xf numFmtId="4" fontId="5" fillId="3" borderId="2" xfId="0" applyNumberFormat="1" applyFont="1" applyFill="1" applyBorder="1" applyAlignment="1" applyProtection="1">
      <alignment horizontal="right"/>
    </xf>
    <xf numFmtId="0" fontId="14" fillId="2" borderId="0" xfId="0" applyFont="1" applyFill="1" applyBorder="1" applyAlignment="1" applyProtection="1">
      <alignment horizontal="right"/>
    </xf>
    <xf numFmtId="0" fontId="47" fillId="2" borderId="0" xfId="0" applyFont="1" applyFill="1" applyBorder="1"/>
    <xf numFmtId="0" fontId="5" fillId="2" borderId="0" xfId="0" applyFont="1" applyFill="1"/>
    <xf numFmtId="0" fontId="19" fillId="2" borderId="0" xfId="0" applyFont="1" applyFill="1" applyBorder="1"/>
    <xf numFmtId="0" fontId="1" fillId="0" borderId="0" xfId="0" applyFont="1" applyProtection="1"/>
    <xf numFmtId="0" fontId="25" fillId="2" borderId="0" xfId="0" applyFont="1" applyFill="1" applyBorder="1" applyAlignment="1" applyProtection="1">
      <alignment horizontal="left"/>
    </xf>
    <xf numFmtId="0" fontId="28" fillId="0" borderId="29" xfId="0" applyFont="1" applyBorder="1" applyAlignment="1" applyProtection="1">
      <alignment horizontal="center" vertical="center"/>
    </xf>
    <xf numFmtId="0" fontId="28" fillId="0" borderId="29" xfId="0" applyFont="1" applyBorder="1" applyAlignment="1" applyProtection="1">
      <alignment horizontal="center" vertical="center" wrapText="1"/>
    </xf>
    <xf numFmtId="1" fontId="8" fillId="4" borderId="2" xfId="0" applyNumberFormat="1" applyFont="1" applyFill="1" applyBorder="1" applyAlignment="1" applyProtection="1">
      <alignment horizontal="center"/>
    </xf>
    <xf numFmtId="168" fontId="5" fillId="4" borderId="2" xfId="0" applyNumberFormat="1" applyFont="1" applyFill="1" applyBorder="1" applyProtection="1"/>
    <xf numFmtId="0" fontId="9" fillId="2" borderId="0" xfId="0" applyFont="1" applyFill="1" applyBorder="1" applyAlignment="1" applyProtection="1">
      <alignment horizontal="left"/>
    </xf>
    <xf numFmtId="0" fontId="30" fillId="2" borderId="0" xfId="0" applyFont="1" applyFill="1" applyAlignment="1" applyProtection="1">
      <alignment horizontal="center" vertical="center"/>
    </xf>
    <xf numFmtId="0" fontId="25" fillId="2" borderId="0" xfId="0" applyFont="1" applyFill="1" applyAlignment="1" applyProtection="1">
      <alignment vertical="center"/>
    </xf>
    <xf numFmtId="0" fontId="30" fillId="2" borderId="0" xfId="0" applyFont="1" applyFill="1" applyAlignment="1" applyProtection="1">
      <alignment vertical="center"/>
    </xf>
    <xf numFmtId="10" fontId="5" fillId="4" borderId="2" xfId="0" applyNumberFormat="1" applyFont="1" applyFill="1" applyBorder="1" applyAlignment="1" applyProtection="1">
      <alignment horizontal="right" shrinkToFit="1"/>
    </xf>
    <xf numFmtId="168" fontId="5" fillId="4" borderId="30" xfId="0" applyNumberFormat="1" applyFont="1" applyFill="1" applyBorder="1" applyAlignment="1" applyProtection="1">
      <alignment horizontal="right"/>
    </xf>
    <xf numFmtId="2" fontId="30" fillId="2" borderId="0" xfId="0" applyNumberFormat="1" applyFont="1" applyFill="1" applyBorder="1" applyAlignment="1" applyProtection="1">
      <alignment horizontal="center" vertical="center"/>
    </xf>
    <xf numFmtId="2" fontId="5" fillId="2" borderId="31" xfId="0" applyNumberFormat="1" applyFont="1" applyFill="1" applyBorder="1" applyProtection="1"/>
    <xf numFmtId="165" fontId="5" fillId="4" borderId="2" xfId="0" applyNumberFormat="1" applyFont="1" applyFill="1" applyBorder="1" applyProtection="1"/>
    <xf numFmtId="3" fontId="5" fillId="4" borderId="2" xfId="0" applyNumberFormat="1" applyFont="1" applyFill="1" applyBorder="1" applyProtection="1"/>
    <xf numFmtId="166" fontId="5" fillId="4" borderId="2" xfId="0" applyNumberFormat="1" applyFont="1" applyFill="1" applyBorder="1" applyProtection="1"/>
    <xf numFmtId="169" fontId="5" fillId="4" borderId="2" xfId="0" applyNumberFormat="1" applyFont="1" applyFill="1" applyBorder="1" applyProtection="1"/>
    <xf numFmtId="4" fontId="37" fillId="2" borderId="0" xfId="0" applyNumberFormat="1" applyFont="1" applyFill="1" applyBorder="1" applyAlignment="1" applyProtection="1">
      <alignment horizontal="center" vertical="center"/>
    </xf>
    <xf numFmtId="4" fontId="9" fillId="2" borderId="0" xfId="0" applyNumberFormat="1" applyFont="1" applyFill="1" applyBorder="1" applyAlignment="1" applyProtection="1">
      <alignment vertical="center"/>
    </xf>
    <xf numFmtId="4" fontId="9" fillId="2" borderId="0" xfId="0" applyNumberFormat="1" applyFont="1" applyFill="1" applyBorder="1" applyAlignment="1" applyProtection="1">
      <alignment horizontal="right" vertical="center"/>
    </xf>
    <xf numFmtId="4" fontId="37" fillId="2" borderId="0" xfId="0" applyNumberFormat="1" applyFont="1" applyFill="1" applyBorder="1" applyAlignment="1" applyProtection="1">
      <alignment vertical="center"/>
    </xf>
    <xf numFmtId="0" fontId="11" fillId="2" borderId="0" xfId="0" applyFont="1" applyFill="1" applyAlignment="1" applyProtection="1">
      <alignment vertical="center"/>
    </xf>
    <xf numFmtId="0" fontId="35" fillId="4" borderId="32" xfId="0" applyFont="1" applyFill="1" applyBorder="1" applyAlignment="1" applyProtection="1">
      <alignment vertical="center"/>
    </xf>
    <xf numFmtId="0" fontId="19" fillId="4" borderId="0" xfId="0" applyFont="1" applyFill="1" applyProtection="1"/>
    <xf numFmtId="0" fontId="19" fillId="0" borderId="0" xfId="0" applyFont="1" applyBorder="1" applyProtection="1"/>
    <xf numFmtId="0" fontId="19" fillId="0" borderId="0" xfId="0" applyFont="1" applyFill="1" applyBorder="1" applyProtection="1">
      <protection locked="0"/>
    </xf>
    <xf numFmtId="0" fontId="19" fillId="0" borderId="0" xfId="0" applyFont="1" applyFill="1" applyBorder="1" applyProtection="1"/>
    <xf numFmtId="1" fontId="19" fillId="0" borderId="0" xfId="0" applyNumberFormat="1" applyFont="1" applyFill="1" applyBorder="1" applyProtection="1"/>
    <xf numFmtId="10" fontId="19" fillId="0" borderId="0" xfId="0" applyNumberFormat="1" applyFont="1" applyFill="1" applyBorder="1" applyProtection="1"/>
    <xf numFmtId="0" fontId="0" fillId="15" borderId="0" xfId="0" applyFill="1"/>
    <xf numFmtId="0" fontId="73" fillId="15" borderId="0" xfId="0" applyFont="1" applyFill="1" applyProtection="1"/>
    <xf numFmtId="0" fontId="28" fillId="15" borderId="33" xfId="0" applyFont="1" applyFill="1" applyBorder="1" applyAlignment="1">
      <alignment horizontal="center" vertical="center"/>
    </xf>
    <xf numFmtId="0" fontId="19" fillId="15" borderId="0" xfId="0" applyFont="1" applyFill="1"/>
    <xf numFmtId="0" fontId="71" fillId="15" borderId="0" xfId="0" applyFont="1" applyFill="1" applyBorder="1" applyProtection="1"/>
    <xf numFmtId="1" fontId="71" fillId="15" borderId="0" xfId="0" applyNumberFormat="1" applyFont="1" applyFill="1" applyBorder="1" applyProtection="1"/>
    <xf numFmtId="0" fontId="73" fillId="15" borderId="0" xfId="0" applyFont="1" applyFill="1" applyBorder="1" applyProtection="1"/>
    <xf numFmtId="0" fontId="71" fillId="15" borderId="0" xfId="0" applyFont="1" applyFill="1" applyBorder="1" applyAlignment="1" applyProtection="1">
      <alignment horizontal="right" vertical="center"/>
    </xf>
    <xf numFmtId="1" fontId="71" fillId="15" borderId="0" xfId="0" applyNumberFormat="1" applyFont="1" applyFill="1" applyBorder="1" applyAlignment="1" applyProtection="1">
      <alignment horizontal="right" vertical="center"/>
    </xf>
    <xf numFmtId="0" fontId="71" fillId="15" borderId="0" xfId="0" applyFont="1" applyFill="1" applyBorder="1" applyAlignment="1" applyProtection="1">
      <alignment vertical="center"/>
    </xf>
    <xf numFmtId="0" fontId="73" fillId="15" borderId="0" xfId="0" applyFont="1" applyFill="1" applyBorder="1" applyAlignment="1" applyProtection="1">
      <alignment vertical="center"/>
    </xf>
    <xf numFmtId="0" fontId="73" fillId="15" borderId="0" xfId="0" quotePrefix="1" applyFont="1" applyFill="1" applyBorder="1" applyAlignment="1" applyProtection="1">
      <alignment vertical="center"/>
    </xf>
    <xf numFmtId="0" fontId="71" fillId="15" borderId="0" xfId="0" applyFont="1" applyFill="1" applyBorder="1" applyAlignment="1" applyProtection="1">
      <alignment horizontal="center" vertical="center"/>
    </xf>
    <xf numFmtId="1" fontId="71" fillId="15" borderId="0" xfId="0" applyNumberFormat="1" applyFont="1" applyFill="1" applyBorder="1" applyAlignment="1" applyProtection="1">
      <alignment horizontal="center" vertical="center"/>
    </xf>
    <xf numFmtId="0" fontId="73" fillId="15" borderId="0" xfId="0" applyFont="1" applyFill="1" applyBorder="1" applyAlignment="1" applyProtection="1">
      <alignment horizontal="center"/>
    </xf>
    <xf numFmtId="0" fontId="73" fillId="15" borderId="0" xfId="0" quotePrefix="1" applyFont="1" applyFill="1" applyBorder="1" applyAlignment="1" applyProtection="1">
      <alignment horizontal="center"/>
    </xf>
    <xf numFmtId="0" fontId="75" fillId="15" borderId="32" xfId="0" applyFont="1" applyFill="1" applyBorder="1" applyAlignment="1">
      <alignment vertical="center"/>
    </xf>
    <xf numFmtId="2" fontId="74" fillId="15" borderId="0" xfId="0" applyNumberFormat="1" applyFont="1" applyFill="1" applyBorder="1" applyAlignment="1" applyProtection="1">
      <alignment horizontal="left"/>
    </xf>
    <xf numFmtId="1" fontId="73" fillId="15" borderId="0" xfId="0" applyNumberFormat="1" applyFont="1" applyFill="1" applyBorder="1" applyProtection="1"/>
    <xf numFmtId="0" fontId="28" fillId="15" borderId="0" xfId="0" applyFont="1" applyFill="1"/>
    <xf numFmtId="0" fontId="0" fillId="0" borderId="0" xfId="0" applyFill="1"/>
    <xf numFmtId="0" fontId="73" fillId="0" borderId="0" xfId="0" applyFont="1" applyFill="1" applyProtection="1"/>
    <xf numFmtId="0" fontId="28" fillId="0" borderId="0" xfId="0" applyFont="1" applyFill="1"/>
    <xf numFmtId="0" fontId="19" fillId="0" borderId="0" xfId="0" applyFont="1" applyFill="1"/>
    <xf numFmtId="0" fontId="19" fillId="16" borderId="0" xfId="0" applyFont="1" applyFill="1" applyProtection="1"/>
    <xf numFmtId="0" fontId="19" fillId="16" borderId="24" xfId="0" applyFont="1" applyFill="1" applyBorder="1" applyProtection="1"/>
    <xf numFmtId="0" fontId="73" fillId="0" borderId="0" xfId="0" applyFont="1" applyFill="1" applyAlignment="1" applyProtection="1">
      <alignment vertical="center"/>
    </xf>
    <xf numFmtId="0" fontId="73" fillId="0" borderId="0" xfId="0" applyFont="1" applyFill="1" applyAlignment="1" applyProtection="1">
      <alignment horizontal="center"/>
    </xf>
    <xf numFmtId="0" fontId="73" fillId="0" borderId="0" xfId="0" applyFont="1" applyFill="1" applyBorder="1" applyProtection="1"/>
    <xf numFmtId="0" fontId="71" fillId="15" borderId="0" xfId="0" applyFont="1" applyFill="1" applyBorder="1" applyAlignment="1">
      <alignment vertical="center"/>
    </xf>
    <xf numFmtId="0" fontId="82" fillId="17" borderId="0" xfId="0" applyFont="1" applyFill="1" applyProtection="1"/>
    <xf numFmtId="0" fontId="82" fillId="0" borderId="0" xfId="0" applyFont="1" applyFill="1" applyProtection="1"/>
    <xf numFmtId="0" fontId="83" fillId="15" borderId="0" xfId="0" applyFont="1" applyFill="1" applyBorder="1" applyProtection="1"/>
    <xf numFmtId="1" fontId="83" fillId="15" borderId="0" xfId="0" applyNumberFormat="1" applyFont="1" applyFill="1" applyBorder="1" applyProtection="1"/>
    <xf numFmtId="0" fontId="82" fillId="15" borderId="0" xfId="0" applyFont="1" applyFill="1" applyBorder="1" applyProtection="1"/>
    <xf numFmtId="0" fontId="84" fillId="15" borderId="0" xfId="0" applyFont="1" applyFill="1" applyBorder="1" applyAlignment="1" applyProtection="1">
      <alignment horizontal="right"/>
    </xf>
    <xf numFmtId="2" fontId="83" fillId="15" borderId="0" xfId="0" applyNumberFormat="1" applyFont="1" applyFill="1" applyBorder="1" applyAlignment="1" applyProtection="1">
      <alignment horizontal="left"/>
    </xf>
    <xf numFmtId="0" fontId="85" fillId="15" borderId="0" xfId="0" applyFont="1" applyFill="1" applyBorder="1" applyProtection="1"/>
    <xf numFmtId="0" fontId="82" fillId="15" borderId="0" xfId="0" applyFont="1" applyFill="1" applyBorder="1" applyAlignment="1" applyProtection="1">
      <alignment horizontal="right"/>
    </xf>
    <xf numFmtId="0" fontId="82" fillId="15" borderId="0" xfId="0" applyFont="1" applyFill="1" applyBorder="1" applyProtection="1">
      <protection hidden="1"/>
    </xf>
    <xf numFmtId="167" fontId="82" fillId="17" borderId="0" xfId="0" applyNumberFormat="1" applyFont="1" applyFill="1" applyProtection="1"/>
    <xf numFmtId="0" fontId="83" fillId="15" borderId="0" xfId="0" applyFont="1" applyFill="1" applyBorder="1" applyAlignment="1" applyProtection="1">
      <alignment horizontal="left"/>
    </xf>
    <xf numFmtId="1" fontId="83" fillId="15" borderId="0" xfId="0" applyNumberFormat="1" applyFont="1" applyFill="1" applyBorder="1" applyAlignment="1" applyProtection="1">
      <alignment horizontal="left"/>
    </xf>
    <xf numFmtId="4" fontId="82" fillId="15" borderId="0" xfId="0" applyNumberFormat="1" applyFont="1" applyFill="1" applyBorder="1" applyProtection="1"/>
    <xf numFmtId="0" fontId="82" fillId="15" borderId="0" xfId="0" applyFont="1" applyFill="1" applyBorder="1" applyAlignment="1" applyProtection="1">
      <alignment wrapText="1"/>
    </xf>
    <xf numFmtId="3" fontId="82" fillId="15" borderId="0" xfId="0" applyNumberFormat="1" applyFont="1" applyFill="1" applyBorder="1" applyProtection="1"/>
    <xf numFmtId="4" fontId="82" fillId="15" borderId="0" xfId="0" applyNumberFormat="1" applyFont="1" applyFill="1" applyBorder="1" applyAlignment="1" applyProtection="1">
      <alignment vertical="center"/>
      <protection hidden="1"/>
    </xf>
    <xf numFmtId="4" fontId="82" fillId="15" borderId="0" xfId="0" applyNumberFormat="1" applyFont="1" applyFill="1" applyBorder="1" applyAlignment="1" applyProtection="1">
      <alignment horizontal="right" vertical="center"/>
      <protection hidden="1"/>
    </xf>
    <xf numFmtId="4" fontId="86" fillId="15" borderId="0" xfId="0" applyNumberFormat="1" applyFont="1" applyFill="1" applyBorder="1" applyAlignment="1" applyProtection="1">
      <alignment vertical="center"/>
      <protection hidden="1"/>
    </xf>
    <xf numFmtId="0" fontId="82" fillId="15" borderId="4" xfId="0" applyFont="1" applyFill="1" applyBorder="1" applyProtection="1"/>
    <xf numFmtId="0" fontId="82" fillId="15" borderId="0" xfId="0" quotePrefix="1" applyFont="1" applyFill="1" applyBorder="1" applyProtection="1"/>
    <xf numFmtId="1" fontId="82" fillId="15" borderId="0" xfId="0" applyNumberFormat="1" applyFont="1" applyFill="1" applyBorder="1" applyProtection="1"/>
    <xf numFmtId="0" fontId="82" fillId="17" borderId="0" xfId="0" applyFont="1" applyFill="1" applyBorder="1" applyProtection="1"/>
    <xf numFmtId="0" fontId="82" fillId="0" borderId="0" xfId="0" applyFont="1" applyFill="1" applyBorder="1" applyProtection="1"/>
    <xf numFmtId="1" fontId="82" fillId="17" borderId="0" xfId="0" applyNumberFormat="1" applyFont="1" applyFill="1" applyBorder="1" applyProtection="1"/>
    <xf numFmtId="0" fontId="76" fillId="0" borderId="0" xfId="0" applyFont="1" applyFill="1" applyBorder="1" applyAlignment="1" applyProtection="1">
      <alignment horizontal="center"/>
    </xf>
    <xf numFmtId="43" fontId="19" fillId="0" borderId="0" xfId="1" applyFont="1" applyProtection="1"/>
    <xf numFmtId="168" fontId="19" fillId="0" borderId="0" xfId="0" applyNumberFormat="1" applyFont="1" applyProtection="1"/>
    <xf numFmtId="0" fontId="28" fillId="17" borderId="0" xfId="0" applyFont="1" applyFill="1" applyProtection="1"/>
    <xf numFmtId="43" fontId="1" fillId="0" borderId="0" xfId="0" applyNumberFormat="1" applyFont="1" applyBorder="1" applyAlignment="1">
      <alignment horizontal="center"/>
    </xf>
    <xf numFmtId="1" fontId="0" fillId="0" borderId="1" xfId="0" applyNumberFormat="1" applyBorder="1" applyAlignment="1">
      <alignment horizontal="center"/>
    </xf>
    <xf numFmtId="43" fontId="1" fillId="0" borderId="1" xfId="0" applyNumberFormat="1" applyFont="1" applyBorder="1" applyAlignment="1">
      <alignment horizontal="center"/>
    </xf>
    <xf numFmtId="170" fontId="0" fillId="0" borderId="1" xfId="0" applyNumberFormat="1" applyBorder="1" applyAlignment="1">
      <alignment horizontal="center"/>
    </xf>
    <xf numFmtId="170" fontId="0" fillId="0" borderId="1" xfId="0" applyNumberFormat="1" applyFill="1" applyBorder="1" applyAlignment="1">
      <alignment horizontal="center"/>
    </xf>
    <xf numFmtId="0" fontId="0" fillId="0" borderId="1" xfId="0" applyBorder="1"/>
    <xf numFmtId="0" fontId="5" fillId="18" borderId="0" xfId="0" applyFont="1" applyFill="1" applyBorder="1" applyAlignment="1" applyProtection="1">
      <alignment horizontal="right"/>
    </xf>
    <xf numFmtId="1" fontId="0" fillId="18" borderId="0" xfId="0" applyNumberFormat="1" applyFill="1" applyBorder="1" applyAlignment="1">
      <alignment horizontal="center"/>
    </xf>
    <xf numFmtId="0" fontId="1" fillId="18" borderId="0" xfId="0" applyFont="1" applyFill="1" applyBorder="1" applyAlignment="1">
      <alignment horizontal="center"/>
    </xf>
    <xf numFmtId="170" fontId="0" fillId="18" borderId="0" xfId="0" applyNumberFormat="1" applyFill="1" applyBorder="1" applyAlignment="1">
      <alignment horizontal="center"/>
    </xf>
    <xf numFmtId="170" fontId="0" fillId="18" borderId="0" xfId="0" applyNumberFormat="1" applyFill="1" applyAlignment="1">
      <alignment horizontal="center"/>
    </xf>
    <xf numFmtId="0" fontId="0" fillId="18" borderId="0" xfId="0" applyFill="1"/>
    <xf numFmtId="0" fontId="5" fillId="19" borderId="0" xfId="0" applyFont="1" applyFill="1" applyBorder="1" applyAlignment="1" applyProtection="1">
      <alignment horizontal="right"/>
    </xf>
    <xf numFmtId="1" fontId="0" fillId="19" borderId="0" xfId="0" applyNumberFormat="1" applyFill="1" applyBorder="1" applyAlignment="1">
      <alignment horizontal="center"/>
    </xf>
    <xf numFmtId="0" fontId="1" fillId="19" borderId="0" xfId="0" applyFont="1" applyFill="1" applyBorder="1" applyAlignment="1">
      <alignment horizontal="center"/>
    </xf>
    <xf numFmtId="170" fontId="0" fillId="19" borderId="0" xfId="0" applyNumberFormat="1" applyFill="1" applyBorder="1" applyAlignment="1">
      <alignment horizontal="center"/>
    </xf>
    <xf numFmtId="170" fontId="0" fillId="19" borderId="0" xfId="0" applyNumberFormat="1" applyFill="1" applyAlignment="1">
      <alignment horizontal="center"/>
    </xf>
    <xf numFmtId="0" fontId="0" fillId="19" borderId="0" xfId="0" applyFill="1"/>
    <xf numFmtId="1" fontId="0" fillId="18" borderId="0" xfId="0" quotePrefix="1" applyNumberFormat="1" applyFill="1" applyBorder="1" applyAlignment="1">
      <alignment horizontal="center"/>
    </xf>
    <xf numFmtId="0" fontId="5" fillId="20" borderId="0" xfId="0" applyFont="1" applyFill="1" applyBorder="1" applyAlignment="1" applyProtection="1">
      <alignment horizontal="right"/>
    </xf>
    <xf numFmtId="1" fontId="0" fillId="20" borderId="0" xfId="0" applyNumberFormat="1" applyFill="1" applyBorder="1" applyAlignment="1">
      <alignment horizontal="center"/>
    </xf>
    <xf numFmtId="0" fontId="1" fillId="20" borderId="0" xfId="0" applyFont="1" applyFill="1" applyBorder="1" applyAlignment="1">
      <alignment horizontal="center"/>
    </xf>
    <xf numFmtId="170" fontId="0" fillId="20" borderId="0" xfId="0" applyNumberFormat="1" applyFill="1" applyBorder="1" applyAlignment="1">
      <alignment horizontal="center"/>
    </xf>
    <xf numFmtId="170" fontId="0" fillId="20" borderId="0" xfId="0" applyNumberFormat="1" applyFill="1" applyAlignment="1">
      <alignment horizontal="center"/>
    </xf>
    <xf numFmtId="0" fontId="0" fillId="20" borderId="0" xfId="0" applyFill="1"/>
    <xf numFmtId="43" fontId="28" fillId="0" borderId="25" xfId="0" applyNumberFormat="1" applyFont="1" applyBorder="1"/>
    <xf numFmtId="0" fontId="63" fillId="21" borderId="0" xfId="0" applyFont="1" applyFill="1" applyBorder="1" applyProtection="1"/>
    <xf numFmtId="0" fontId="28" fillId="21" borderId="0" xfId="0" applyFont="1" applyFill="1" applyBorder="1" applyProtection="1"/>
    <xf numFmtId="1" fontId="28" fillId="21" borderId="0" xfId="0" applyNumberFormat="1" applyFont="1" applyFill="1" applyBorder="1" applyProtection="1"/>
    <xf numFmtId="0" fontId="19" fillId="21" borderId="0" xfId="0" applyFont="1" applyFill="1" applyBorder="1" applyProtection="1"/>
    <xf numFmtId="0" fontId="64" fillId="21" borderId="0" xfId="0" applyFont="1" applyFill="1" applyBorder="1" applyAlignment="1" applyProtection="1">
      <alignment horizontal="right"/>
    </xf>
    <xf numFmtId="0" fontId="19" fillId="21" borderId="1" xfId="0" applyFont="1" applyFill="1" applyBorder="1" applyProtection="1"/>
    <xf numFmtId="0" fontId="28" fillId="21" borderId="1" xfId="0" applyFont="1" applyFill="1" applyBorder="1" applyProtection="1"/>
    <xf numFmtId="1" fontId="28" fillId="21" borderId="1" xfId="0" applyNumberFormat="1" applyFont="1" applyFill="1" applyBorder="1" applyProtection="1"/>
    <xf numFmtId="0" fontId="19" fillId="21" borderId="0" xfId="0" applyFont="1" applyFill="1" applyBorder="1" applyAlignment="1" applyProtection="1">
      <alignment horizontal="left"/>
    </xf>
    <xf numFmtId="0" fontId="19" fillId="21" borderId="0" xfId="0" applyFont="1" applyFill="1" applyBorder="1" applyAlignment="1" applyProtection="1">
      <alignment horizontal="right"/>
    </xf>
    <xf numFmtId="49" fontId="29" fillId="21" borderId="0" xfId="0" applyNumberFormat="1" applyFont="1" applyFill="1" applyBorder="1" applyAlignment="1" applyProtection="1">
      <alignment horizontal="right"/>
    </xf>
    <xf numFmtId="0" fontId="28" fillId="21" borderId="0" xfId="0" applyFont="1" applyFill="1" applyBorder="1" applyAlignment="1" applyProtection="1">
      <alignment horizontal="left"/>
    </xf>
    <xf numFmtId="2" fontId="19" fillId="21" borderId="0" xfId="0" applyNumberFormat="1" applyFont="1" applyFill="1" applyBorder="1" applyProtection="1"/>
    <xf numFmtId="0" fontId="18" fillId="21" borderId="0" xfId="0" applyFont="1" applyFill="1" applyBorder="1" applyAlignment="1" applyProtection="1">
      <alignment horizontal="left"/>
      <protection hidden="1"/>
    </xf>
    <xf numFmtId="0" fontId="28" fillId="21" borderId="0" xfId="0" applyFont="1" applyFill="1" applyBorder="1" applyAlignment="1" applyProtection="1">
      <alignment horizontal="right"/>
    </xf>
    <xf numFmtId="1" fontId="66" fillId="21" borderId="0" xfId="0" applyNumberFormat="1" applyFont="1" applyFill="1" applyBorder="1" applyAlignment="1" applyProtection="1">
      <alignment horizontal="left"/>
    </xf>
    <xf numFmtId="0" fontId="28" fillId="21" borderId="5" xfId="0" applyFont="1" applyFill="1" applyBorder="1" applyAlignment="1" applyProtection="1">
      <alignment horizontal="left"/>
    </xf>
    <xf numFmtId="2" fontId="19" fillId="21" borderId="0" xfId="0" applyNumberFormat="1" applyFont="1" applyFill="1" applyBorder="1" applyProtection="1">
      <protection hidden="1"/>
    </xf>
    <xf numFmtId="0" fontId="28" fillId="21" borderId="1" xfId="0" applyFont="1" applyFill="1" applyBorder="1" applyAlignment="1" applyProtection="1">
      <alignment horizontal="left"/>
    </xf>
    <xf numFmtId="1" fontId="66" fillId="21" borderId="1" xfId="0" applyNumberFormat="1" applyFont="1" applyFill="1" applyBorder="1" applyAlignment="1" applyProtection="1">
      <alignment horizontal="left"/>
    </xf>
    <xf numFmtId="0" fontId="19" fillId="21" borderId="1" xfId="0" applyFont="1" applyFill="1" applyBorder="1" applyAlignment="1" applyProtection="1">
      <alignment horizontal="left"/>
    </xf>
    <xf numFmtId="1" fontId="66" fillId="21" borderId="0" xfId="0" applyNumberFormat="1" applyFont="1" applyFill="1" applyBorder="1" applyProtection="1"/>
    <xf numFmtId="2" fontId="62" fillId="21" borderId="0" xfId="0" applyNumberFormat="1" applyFont="1" applyFill="1" applyBorder="1" applyAlignment="1" applyProtection="1">
      <alignment horizontal="center"/>
    </xf>
    <xf numFmtId="1" fontId="67" fillId="21" borderId="0" xfId="0" applyNumberFormat="1" applyFont="1" applyFill="1" applyBorder="1" applyAlignment="1" applyProtection="1">
      <alignment horizontal="left"/>
    </xf>
    <xf numFmtId="1" fontId="67" fillId="21" borderId="1" xfId="0" applyNumberFormat="1" applyFont="1" applyFill="1" applyBorder="1" applyAlignment="1" applyProtection="1">
      <alignment horizontal="left"/>
    </xf>
    <xf numFmtId="0" fontId="68" fillId="21" borderId="0" xfId="0" applyFont="1" applyFill="1" applyBorder="1" applyAlignment="1" applyProtection="1">
      <alignment horizontal="left"/>
    </xf>
    <xf numFmtId="0" fontId="19" fillId="21" borderId="0" xfId="0" applyFont="1" applyFill="1" applyBorder="1" applyProtection="1">
      <protection hidden="1"/>
    </xf>
    <xf numFmtId="2" fontId="19" fillId="21" borderId="0" xfId="0" applyNumberFormat="1" applyFont="1" applyFill="1" applyBorder="1" applyAlignment="1" applyProtection="1">
      <alignment horizontal="right"/>
    </xf>
    <xf numFmtId="0" fontId="62" fillId="21" borderId="0" xfId="0" applyFont="1" applyFill="1" applyBorder="1" applyAlignment="1" applyProtection="1">
      <alignment horizontal="center" vertical="center"/>
    </xf>
    <xf numFmtId="1" fontId="67" fillId="21" borderId="0" xfId="0" applyNumberFormat="1" applyFont="1" applyFill="1" applyBorder="1" applyAlignment="1" applyProtection="1">
      <alignment horizontal="right"/>
    </xf>
    <xf numFmtId="2" fontId="28" fillId="21" borderId="0" xfId="0" applyNumberFormat="1" applyFont="1" applyFill="1" applyBorder="1" applyAlignment="1" applyProtection="1">
      <alignment horizontal="right"/>
    </xf>
    <xf numFmtId="2" fontId="35" fillId="21" borderId="0" xfId="0" applyNumberFormat="1" applyFont="1" applyFill="1" applyBorder="1" applyAlignment="1" applyProtection="1">
      <alignment horizontal="center" vertical="center"/>
      <protection hidden="1"/>
    </xf>
    <xf numFmtId="2" fontId="28" fillId="21" borderId="5" xfId="0" applyNumberFormat="1" applyFont="1" applyFill="1" applyBorder="1" applyProtection="1"/>
    <xf numFmtId="2" fontId="28" fillId="21" borderId="0" xfId="0" applyNumberFormat="1" applyFont="1" applyFill="1" applyBorder="1" applyProtection="1"/>
    <xf numFmtId="0" fontId="28" fillId="21" borderId="1" xfId="0" applyFont="1" applyFill="1" applyBorder="1" applyAlignment="1" applyProtection="1">
      <alignment horizontal="right"/>
    </xf>
    <xf numFmtId="2" fontId="28" fillId="21" borderId="1" xfId="0" applyNumberFormat="1" applyFont="1" applyFill="1" applyBorder="1" applyProtection="1"/>
    <xf numFmtId="1" fontId="67" fillId="21" borderId="1" xfId="0" applyNumberFormat="1" applyFont="1" applyFill="1" applyBorder="1" applyAlignment="1" applyProtection="1">
      <alignment horizontal="right"/>
    </xf>
    <xf numFmtId="2" fontId="19" fillId="21" borderId="1" xfId="0" applyNumberFormat="1" applyFont="1" applyFill="1" applyBorder="1" applyProtection="1"/>
    <xf numFmtId="1" fontId="67" fillId="21" borderId="0" xfId="0" applyNumberFormat="1" applyFont="1" applyFill="1" applyBorder="1" applyProtection="1"/>
    <xf numFmtId="0" fontId="18" fillId="21" borderId="1" xfId="0" quotePrefix="1" applyFont="1" applyFill="1" applyBorder="1" applyAlignment="1" applyProtection="1"/>
    <xf numFmtId="0" fontId="18" fillId="21" borderId="1" xfId="0" applyFont="1" applyFill="1" applyBorder="1" applyAlignment="1" applyProtection="1"/>
    <xf numFmtId="3" fontId="28" fillId="21" borderId="0" xfId="0" applyNumberFormat="1" applyFont="1" applyFill="1" applyBorder="1" applyProtection="1"/>
    <xf numFmtId="0" fontId="18" fillId="21" borderId="0" xfId="0" applyFont="1" applyFill="1" applyBorder="1" applyProtection="1">
      <protection hidden="1"/>
    </xf>
    <xf numFmtId="0" fontId="69" fillId="21" borderId="0" xfId="0" applyFont="1" applyFill="1" applyBorder="1" applyAlignment="1" applyProtection="1">
      <alignment horizontal="right"/>
    </xf>
    <xf numFmtId="0" fontId="22" fillId="21" borderId="0" xfId="0" applyFont="1" applyFill="1" applyBorder="1" applyAlignment="1" applyProtection="1">
      <alignment vertical="center" wrapText="1"/>
    </xf>
    <xf numFmtId="4" fontId="28" fillId="21" borderId="0" xfId="0" applyNumberFormat="1" applyFont="1" applyFill="1" applyBorder="1" applyProtection="1"/>
    <xf numFmtId="0" fontId="19" fillId="21" borderId="0" xfId="0" quotePrefix="1" applyFont="1" applyFill="1" applyBorder="1" applyAlignment="1" applyProtection="1">
      <alignment horizontal="center"/>
    </xf>
    <xf numFmtId="166" fontId="19" fillId="21" borderId="0" xfId="0" applyNumberFormat="1" applyFont="1" applyFill="1" applyBorder="1" applyProtection="1"/>
    <xf numFmtId="1" fontId="70" fillId="21" borderId="0" xfId="0" applyNumberFormat="1" applyFont="1" applyFill="1" applyBorder="1" applyProtection="1"/>
    <xf numFmtId="2" fontId="28" fillId="21" borderId="0" xfId="0" applyNumberFormat="1" applyFont="1" applyFill="1" applyBorder="1" applyAlignment="1" applyProtection="1">
      <alignment horizontal="left"/>
    </xf>
    <xf numFmtId="168" fontId="88" fillId="22" borderId="2" xfId="0" applyNumberFormat="1" applyFont="1" applyFill="1" applyBorder="1" applyProtection="1"/>
    <xf numFmtId="167" fontId="82" fillId="22" borderId="2" xfId="0" applyNumberFormat="1" applyFont="1" applyFill="1" applyBorder="1" applyProtection="1"/>
    <xf numFmtId="166" fontId="82" fillId="22" borderId="2" xfId="0" applyNumberFormat="1" applyFont="1" applyFill="1" applyBorder="1" applyProtection="1"/>
    <xf numFmtId="166" fontId="82" fillId="22" borderId="2" xfId="0" applyNumberFormat="1" applyFont="1" applyFill="1" applyBorder="1" applyAlignment="1" applyProtection="1">
      <alignment vertical="center"/>
    </xf>
    <xf numFmtId="2" fontId="82" fillId="22" borderId="2" xfId="0" applyNumberFormat="1" applyFont="1" applyFill="1" applyBorder="1" applyProtection="1"/>
    <xf numFmtId="4" fontId="82" fillId="22" borderId="2" xfId="0" applyNumberFormat="1" applyFont="1" applyFill="1" applyBorder="1" applyAlignment="1" applyProtection="1">
      <alignment horizontal="right"/>
    </xf>
    <xf numFmtId="4" fontId="82" fillId="22" borderId="2" xfId="0" applyNumberFormat="1" applyFont="1" applyFill="1" applyBorder="1" applyProtection="1"/>
    <xf numFmtId="4" fontId="82" fillId="22" borderId="2" xfId="0" quotePrefix="1" applyNumberFormat="1" applyFont="1" applyFill="1" applyBorder="1" applyProtection="1"/>
    <xf numFmtId="4" fontId="82" fillId="22" borderId="2" xfId="0" applyNumberFormat="1" applyFont="1" applyFill="1" applyBorder="1" applyAlignment="1" applyProtection="1">
      <alignment vertical="center"/>
    </xf>
    <xf numFmtId="0" fontId="19" fillId="0" borderId="0" xfId="0" applyFont="1" applyAlignment="1">
      <alignment horizontal="right"/>
    </xf>
    <xf numFmtId="0" fontId="0" fillId="16" borderId="0" xfId="0" applyFill="1"/>
    <xf numFmtId="172" fontId="82" fillId="22" borderId="2" xfId="1" applyNumberFormat="1" applyFont="1" applyFill="1" applyBorder="1" applyProtection="1"/>
    <xf numFmtId="0" fontId="82" fillId="15" borderId="0" xfId="0" quotePrefix="1" applyFont="1" applyFill="1" applyBorder="1" applyAlignment="1" applyProtection="1">
      <alignment horizontal="right"/>
    </xf>
    <xf numFmtId="0" fontId="116" fillId="15" borderId="0" xfId="0" applyFont="1" applyFill="1" applyBorder="1" applyAlignment="1" applyProtection="1">
      <alignment horizontal="right"/>
    </xf>
    <xf numFmtId="0" fontId="117" fillId="21" borderId="0" xfId="0" applyFont="1" applyFill="1" applyBorder="1" applyAlignment="1" applyProtection="1">
      <alignment horizontal="right"/>
    </xf>
    <xf numFmtId="0" fontId="28" fillId="21" borderId="5" xfId="0" applyFont="1" applyFill="1" applyBorder="1" applyAlignment="1" applyProtection="1">
      <alignment horizontal="right" vertical="center"/>
    </xf>
    <xf numFmtId="0" fontId="28" fillId="21" borderId="0" xfId="0" applyFont="1" applyFill="1" applyBorder="1" applyAlignment="1" applyProtection="1">
      <alignment horizontal="right" vertical="center"/>
    </xf>
    <xf numFmtId="0" fontId="83" fillId="15" borderId="25" xfId="0" quotePrefix="1" applyFont="1" applyFill="1" applyBorder="1" applyAlignment="1" applyProtection="1">
      <alignment horizontal="right"/>
    </xf>
    <xf numFmtId="172" fontId="83" fillId="22" borderId="2" xfId="1" applyNumberFormat="1" applyFont="1" applyFill="1" applyBorder="1" applyProtection="1"/>
    <xf numFmtId="0" fontId="118" fillId="0" borderId="0" xfId="0" applyFont="1" applyProtection="1"/>
    <xf numFmtId="0" fontId="22" fillId="0" borderId="0" xfId="0" applyFont="1" applyProtection="1"/>
    <xf numFmtId="0" fontId="19" fillId="0" borderId="0" xfId="0" applyFont="1"/>
    <xf numFmtId="0" fontId="19" fillId="0" borderId="1" xfId="0" applyFont="1" applyBorder="1"/>
    <xf numFmtId="0" fontId="19" fillId="19" borderId="0" xfId="0" applyFont="1" applyFill="1"/>
    <xf numFmtId="0" fontId="19" fillId="20" borderId="0" xfId="0" applyFont="1" applyFill="1"/>
    <xf numFmtId="0" fontId="19" fillId="18" borderId="0" xfId="0" applyFont="1" applyFill="1"/>
    <xf numFmtId="0" fontId="119" fillId="23" borderId="0" xfId="0" applyFont="1" applyFill="1" applyAlignment="1">
      <alignment horizontal="center"/>
    </xf>
    <xf numFmtId="0" fontId="28" fillId="15" borderId="34" xfId="0" applyFont="1" applyFill="1" applyBorder="1" applyAlignment="1">
      <alignment horizontal="right" vertical="center"/>
    </xf>
    <xf numFmtId="43" fontId="82" fillId="17" borderId="0" xfId="1" applyFont="1" applyFill="1" applyProtection="1"/>
    <xf numFmtId="0" fontId="82" fillId="15" borderId="35" xfId="0" applyFont="1" applyFill="1" applyBorder="1" applyAlignment="1" applyProtection="1">
      <protection hidden="1"/>
    </xf>
    <xf numFmtId="0" fontId="82" fillId="15" borderId="0" xfId="0" applyFont="1" applyFill="1" applyBorder="1" applyAlignment="1" applyProtection="1">
      <protection hidden="1"/>
    </xf>
    <xf numFmtId="0" fontId="82" fillId="15" borderId="0" xfId="0" applyFont="1" applyFill="1" applyBorder="1" applyAlignment="1" applyProtection="1">
      <alignment horizontal="right"/>
      <protection hidden="1"/>
    </xf>
    <xf numFmtId="0" fontId="83" fillId="15" borderId="0" xfId="0" applyFont="1" applyFill="1" applyBorder="1" applyAlignment="1" applyProtection="1">
      <protection hidden="1"/>
    </xf>
    <xf numFmtId="0" fontId="19" fillId="0" borderId="0" xfId="0" applyFont="1" applyAlignment="1" applyProtection="1">
      <alignment horizontal="center" vertical="center"/>
    </xf>
    <xf numFmtId="0" fontId="19" fillId="4" borderId="0" xfId="0" applyFont="1" applyFill="1" applyBorder="1" applyProtection="1"/>
    <xf numFmtId="168" fontId="94" fillId="15" borderId="36" xfId="0" quotePrefix="1" applyNumberFormat="1" applyFont="1" applyFill="1" applyBorder="1" applyAlignment="1" applyProtection="1">
      <alignment horizontal="center" vertical="center"/>
    </xf>
    <xf numFmtId="0" fontId="19" fillId="15" borderId="37" xfId="0" applyFont="1" applyFill="1" applyBorder="1" applyProtection="1"/>
    <xf numFmtId="0" fontId="93" fillId="15" borderId="37" xfId="0" applyFont="1" applyFill="1" applyBorder="1" applyProtection="1"/>
    <xf numFmtId="0" fontId="95" fillId="15" borderId="21" xfId="4" quotePrefix="1" applyFont="1" applyFill="1" applyBorder="1" applyAlignment="1" applyProtection="1">
      <alignment horizontal="center" vertical="center" wrapText="1" shrinkToFit="1"/>
    </xf>
    <xf numFmtId="0" fontId="62" fillId="15" borderId="0" xfId="0" quotePrefix="1" applyFont="1" applyFill="1" applyBorder="1" applyProtection="1"/>
    <xf numFmtId="0" fontId="2" fillId="15" borderId="21" xfId="4" applyFont="1" applyFill="1" applyBorder="1" applyAlignment="1" applyProtection="1">
      <alignment horizontal="center" vertical="center" wrapText="1" shrinkToFit="1"/>
    </xf>
    <xf numFmtId="0" fontId="62" fillId="15" borderId="0" xfId="0" applyFont="1" applyFill="1" applyBorder="1" applyProtection="1"/>
    <xf numFmtId="168" fontId="94" fillId="15" borderId="0" xfId="0" applyNumberFormat="1" applyFont="1" applyFill="1" applyBorder="1" applyAlignment="1" applyProtection="1">
      <alignment wrapText="1"/>
    </xf>
    <xf numFmtId="168" fontId="94" fillId="15" borderId="21" xfId="0" applyNumberFormat="1" applyFont="1" applyFill="1" applyBorder="1" applyAlignment="1" applyProtection="1">
      <alignment horizontal="center" vertical="center"/>
    </xf>
    <xf numFmtId="2" fontId="96" fillId="15" borderId="0" xfId="0" quotePrefix="1" applyNumberFormat="1" applyFont="1" applyFill="1" applyBorder="1" applyProtection="1"/>
    <xf numFmtId="0" fontId="62" fillId="15" borderId="22" xfId="0" applyFont="1" applyFill="1" applyBorder="1" applyProtection="1"/>
    <xf numFmtId="168" fontId="94" fillId="15" borderId="22" xfId="0" applyNumberFormat="1" applyFont="1" applyFill="1" applyBorder="1" applyAlignment="1" applyProtection="1">
      <alignment wrapText="1"/>
    </xf>
    <xf numFmtId="168" fontId="94" fillId="15" borderId="0" xfId="0" quotePrefix="1" applyNumberFormat="1" applyFont="1" applyFill="1" applyBorder="1" applyAlignment="1" applyProtection="1">
      <alignment horizontal="center"/>
    </xf>
    <xf numFmtId="168" fontId="97" fillId="15" borderId="22" xfId="0" applyNumberFormat="1" applyFont="1" applyFill="1" applyBorder="1" applyAlignment="1" applyProtection="1">
      <alignment wrapText="1"/>
    </xf>
    <xf numFmtId="2" fontId="96" fillId="15" borderId="21" xfId="0" quotePrefix="1" applyNumberFormat="1" applyFont="1" applyFill="1" applyBorder="1" applyAlignment="1" applyProtection="1">
      <alignment horizontal="center"/>
    </xf>
    <xf numFmtId="168" fontId="97" fillId="15" borderId="21" xfId="0" applyNumberFormat="1" applyFont="1" applyFill="1" applyBorder="1" applyAlignment="1" applyProtection="1">
      <alignment horizontal="center" vertical="center"/>
    </xf>
    <xf numFmtId="0" fontId="62" fillId="15" borderId="1" xfId="0" applyFont="1" applyFill="1" applyBorder="1" applyProtection="1"/>
    <xf numFmtId="168" fontId="97" fillId="15" borderId="0" xfId="0" applyNumberFormat="1" applyFont="1" applyFill="1" applyBorder="1" applyAlignment="1" applyProtection="1">
      <alignment wrapText="1"/>
    </xf>
    <xf numFmtId="0" fontId="62" fillId="15" borderId="23" xfId="0" applyFont="1" applyFill="1" applyBorder="1" applyProtection="1"/>
    <xf numFmtId="168" fontId="94" fillId="15" borderId="0" xfId="0" quotePrefix="1" applyNumberFormat="1" applyFont="1" applyFill="1" applyBorder="1" applyAlignment="1" applyProtection="1">
      <alignment horizontal="center" vertical="center"/>
    </xf>
    <xf numFmtId="0" fontId="62" fillId="15" borderId="21" xfId="0" applyFont="1" applyFill="1" applyBorder="1" applyProtection="1"/>
    <xf numFmtId="168" fontId="97" fillId="15" borderId="22" xfId="4" applyNumberFormat="1" applyFont="1" applyFill="1" applyBorder="1" applyAlignment="1" applyProtection="1">
      <alignment horizontal="right" vertical="center" wrapText="1" shrinkToFit="1"/>
    </xf>
    <xf numFmtId="168" fontId="97" fillId="15" borderId="0" xfId="0" applyNumberFormat="1" applyFont="1" applyFill="1" applyBorder="1" applyAlignment="1" applyProtection="1">
      <alignment horizontal="center" vertical="center"/>
    </xf>
    <xf numFmtId="0" fontId="97" fillId="15" borderId="0" xfId="0" applyFont="1" applyFill="1" applyBorder="1" applyAlignment="1" applyProtection="1">
      <alignment wrapText="1"/>
    </xf>
    <xf numFmtId="0" fontId="97" fillId="15" borderId="22" xfId="0" applyFont="1" applyFill="1" applyBorder="1" applyAlignment="1" applyProtection="1">
      <alignment wrapText="1"/>
    </xf>
    <xf numFmtId="0" fontId="19" fillId="15" borderId="0" xfId="0" applyFont="1" applyFill="1" applyBorder="1" applyProtection="1"/>
    <xf numFmtId="0" fontId="19" fillId="15" borderId="7" xfId="0" applyFont="1" applyFill="1" applyBorder="1" applyProtection="1"/>
    <xf numFmtId="0" fontId="19" fillId="15" borderId="7" xfId="0" applyFont="1" applyFill="1" applyBorder="1" applyAlignment="1" applyProtection="1">
      <alignment wrapText="1"/>
    </xf>
    <xf numFmtId="0" fontId="62" fillId="15" borderId="0" xfId="0" applyFont="1" applyFill="1" applyBorder="1" applyAlignment="1" applyProtection="1">
      <alignment horizontal="right"/>
    </xf>
    <xf numFmtId="0" fontId="19" fillId="15" borderId="0" xfId="0" applyFont="1" applyFill="1" applyBorder="1" applyAlignment="1" applyProtection="1">
      <alignment horizontal="right"/>
    </xf>
    <xf numFmtId="1" fontId="19" fillId="15" borderId="0" xfId="0" applyNumberFormat="1" applyFont="1" applyFill="1" applyBorder="1" applyAlignment="1" applyProtection="1">
      <alignment horizontal="left"/>
    </xf>
    <xf numFmtId="0" fontId="19" fillId="15" borderId="0" xfId="0" applyFont="1" applyFill="1" applyBorder="1" applyAlignment="1" applyProtection="1">
      <alignment horizontal="left" vertical="top"/>
    </xf>
    <xf numFmtId="0" fontId="19" fillId="15" borderId="0" xfId="0" applyFont="1" applyFill="1" applyBorder="1" applyAlignment="1" applyProtection="1">
      <alignment vertical="center"/>
    </xf>
    <xf numFmtId="0" fontId="19" fillId="15" borderId="0" xfId="0" applyFont="1" applyFill="1" applyBorder="1" applyAlignment="1" applyProtection="1">
      <alignment horizontal="left" vertical="center"/>
    </xf>
    <xf numFmtId="0" fontId="19" fillId="15" borderId="0" xfId="0" applyFont="1" applyFill="1" applyBorder="1" applyAlignment="1" applyProtection="1">
      <alignment horizontal="right" vertical="center"/>
    </xf>
    <xf numFmtId="0" fontId="2" fillId="15" borderId="0" xfId="4" applyFont="1" applyFill="1" applyBorder="1" applyAlignment="1" applyProtection="1">
      <alignment vertical="center"/>
    </xf>
    <xf numFmtId="0" fontId="19" fillId="15" borderId="9" xfId="0" applyFont="1" applyFill="1" applyBorder="1" applyProtection="1"/>
    <xf numFmtId="0" fontId="19" fillId="15" borderId="10" xfId="0" applyFont="1" applyFill="1" applyBorder="1" applyProtection="1"/>
    <xf numFmtId="0" fontId="19" fillId="15" borderId="31" xfId="0" applyFont="1" applyFill="1" applyBorder="1" applyProtection="1"/>
    <xf numFmtId="0" fontId="19" fillId="24" borderId="0" xfId="0" applyFont="1" applyFill="1" applyBorder="1" applyProtection="1"/>
    <xf numFmtId="0" fontId="19" fillId="24" borderId="0" xfId="0" applyFont="1" applyFill="1" applyProtection="1"/>
    <xf numFmtId="0" fontId="91" fillId="24" borderId="0" xfId="0" applyFont="1" applyFill="1" applyProtection="1"/>
    <xf numFmtId="0" fontId="19" fillId="24" borderId="0" xfId="0" applyFont="1" applyFill="1" applyAlignment="1" applyProtection="1">
      <alignment horizontal="center" vertical="center"/>
    </xf>
    <xf numFmtId="0" fontId="19" fillId="22" borderId="2" xfId="0" applyFont="1" applyFill="1" applyBorder="1" applyProtection="1"/>
    <xf numFmtId="0" fontId="19" fillId="18" borderId="2" xfId="0" applyFont="1" applyFill="1" applyBorder="1" applyProtection="1"/>
    <xf numFmtId="0" fontId="19" fillId="23" borderId="114" xfId="0" applyFont="1" applyFill="1" applyBorder="1" applyProtection="1"/>
    <xf numFmtId="0" fontId="18" fillId="15" borderId="0" xfId="0" applyFont="1" applyFill="1" applyBorder="1" applyProtection="1"/>
    <xf numFmtId="0" fontId="19" fillId="15" borderId="0" xfId="0" applyFont="1" applyFill="1" applyBorder="1" applyAlignment="1" applyProtection="1">
      <alignment wrapText="1"/>
    </xf>
    <xf numFmtId="0" fontId="69" fillId="15" borderId="0" xfId="0" applyFont="1" applyFill="1" applyBorder="1" applyAlignment="1" applyProtection="1">
      <alignment wrapText="1"/>
    </xf>
    <xf numFmtId="0" fontId="19" fillId="15" borderId="0" xfId="0" applyFont="1" applyFill="1" applyBorder="1" applyAlignment="1" applyProtection="1">
      <alignment horizontal="left" vertical="center" wrapText="1"/>
    </xf>
    <xf numFmtId="10" fontId="19" fillId="18" borderId="2" xfId="0" applyNumberFormat="1" applyFont="1" applyFill="1" applyBorder="1" applyProtection="1"/>
    <xf numFmtId="0" fontId="98" fillId="15" borderId="0" xfId="4" applyFont="1" applyFill="1" applyBorder="1" applyAlignment="1" applyProtection="1"/>
    <xf numFmtId="0" fontId="19" fillId="15" borderId="38" xfId="0" applyFont="1" applyFill="1" applyBorder="1" applyProtection="1"/>
    <xf numFmtId="0" fontId="93" fillId="15" borderId="0" xfId="0" applyFont="1" applyFill="1" applyBorder="1" applyProtection="1"/>
    <xf numFmtId="0" fontId="19" fillId="15" borderId="0" xfId="0" applyFont="1" applyFill="1" applyBorder="1" applyAlignment="1" applyProtection="1">
      <alignment horizontal="right" wrapText="1"/>
    </xf>
    <xf numFmtId="0" fontId="10" fillId="15" borderId="6" xfId="0" applyFont="1" applyFill="1" applyBorder="1" applyProtection="1"/>
    <xf numFmtId="0" fontId="10" fillId="15" borderId="0" xfId="0" applyFont="1" applyFill="1" applyBorder="1" applyProtection="1"/>
    <xf numFmtId="0" fontId="9" fillId="15" borderId="0" xfId="0" applyFont="1" applyFill="1" applyBorder="1" applyProtection="1"/>
    <xf numFmtId="0" fontId="26" fillId="15" borderId="0" xfId="0" applyFont="1" applyFill="1" applyBorder="1" applyProtection="1"/>
    <xf numFmtId="0" fontId="9" fillId="15" borderId="7" xfId="0" applyFont="1" applyFill="1" applyBorder="1" applyProtection="1"/>
    <xf numFmtId="0" fontId="10" fillId="15" borderId="8" xfId="0" applyFont="1" applyFill="1" applyBorder="1" applyProtection="1"/>
    <xf numFmtId="0" fontId="10" fillId="15" borderId="9" xfId="0" applyFont="1" applyFill="1" applyBorder="1" applyProtection="1"/>
    <xf numFmtId="0" fontId="9" fillId="15" borderId="9" xfId="0" applyFont="1" applyFill="1" applyBorder="1" applyProtection="1"/>
    <xf numFmtId="0" fontId="26" fillId="15" borderId="9" xfId="0" applyFont="1" applyFill="1" applyBorder="1" applyProtection="1"/>
    <xf numFmtId="0" fontId="9" fillId="15" borderId="10" xfId="0" applyFont="1" applyFill="1" applyBorder="1" applyProtection="1"/>
    <xf numFmtId="0" fontId="13" fillId="15" borderId="6" xfId="0" applyFont="1" applyFill="1" applyBorder="1"/>
    <xf numFmtId="0" fontId="5" fillId="15" borderId="0" xfId="0" applyFont="1" applyFill="1" applyBorder="1"/>
    <xf numFmtId="0" fontId="23" fillId="15" borderId="7" xfId="0" applyFont="1" applyFill="1" applyBorder="1"/>
    <xf numFmtId="0" fontId="5" fillId="15" borderId="6" xfId="0" applyFont="1" applyFill="1" applyBorder="1"/>
    <xf numFmtId="0" fontId="13" fillId="15" borderId="0" xfId="0" applyFont="1" applyFill="1"/>
    <xf numFmtId="0" fontId="13" fillId="15" borderId="8" xfId="0" applyFont="1" applyFill="1" applyBorder="1"/>
    <xf numFmtId="0" fontId="46" fillId="15" borderId="39" xfId="0" applyFont="1" applyFill="1" applyBorder="1" applyAlignment="1">
      <alignment horizontal="center" wrapText="1"/>
    </xf>
    <xf numFmtId="0" fontId="5" fillId="15" borderId="7" xfId="0" applyFont="1" applyFill="1" applyBorder="1"/>
    <xf numFmtId="0" fontId="23" fillId="15" borderId="0" xfId="0" applyFont="1" applyFill="1"/>
    <xf numFmtId="0" fontId="23" fillId="15" borderId="10" xfId="0" applyFont="1" applyFill="1" applyBorder="1"/>
    <xf numFmtId="0" fontId="5" fillId="15" borderId="0" xfId="0" applyFont="1" applyFill="1" applyBorder="1" applyAlignment="1">
      <alignment horizontal="left"/>
    </xf>
    <xf numFmtId="0" fontId="5" fillId="15" borderId="0" xfId="0" applyFont="1" applyFill="1"/>
    <xf numFmtId="0" fontId="5" fillId="15" borderId="9" xfId="0" applyFont="1" applyFill="1" applyBorder="1"/>
    <xf numFmtId="0" fontId="47" fillId="15" borderId="0" xfId="0" applyFont="1" applyFill="1" applyBorder="1" applyAlignment="1">
      <alignment horizontal="center"/>
    </xf>
    <xf numFmtId="0" fontId="28" fillId="15" borderId="16" xfId="0" applyFont="1" applyFill="1" applyBorder="1" applyAlignment="1">
      <alignment horizontal="center" vertical="center"/>
    </xf>
    <xf numFmtId="0" fontId="28" fillId="4" borderId="40" xfId="0" applyFont="1" applyFill="1" applyBorder="1" applyAlignment="1">
      <alignment horizontal="center" vertical="center"/>
    </xf>
    <xf numFmtId="0" fontId="28" fillId="4" borderId="41" xfId="0" applyFont="1" applyFill="1" applyBorder="1" applyAlignment="1">
      <alignment horizontal="center" vertical="center"/>
    </xf>
    <xf numFmtId="0" fontId="28" fillId="4" borderId="42" xfId="0" applyFont="1" applyFill="1" applyBorder="1" applyAlignment="1">
      <alignment horizontal="center" vertical="center"/>
    </xf>
    <xf numFmtId="0" fontId="28" fillId="4" borderId="43" xfId="0" applyFont="1" applyFill="1" applyBorder="1" applyAlignment="1">
      <alignment horizontal="center" vertical="center"/>
    </xf>
    <xf numFmtId="0" fontId="19" fillId="15" borderId="0" xfId="0" applyFont="1" applyFill="1" applyBorder="1" applyAlignment="1"/>
    <xf numFmtId="0" fontId="19" fillId="15" borderId="0" xfId="0" applyFont="1" applyFill="1" applyBorder="1" applyAlignment="1">
      <alignment horizontal="left"/>
    </xf>
    <xf numFmtId="0" fontId="19" fillId="15" borderId="0" xfId="0" applyFont="1" applyFill="1" applyBorder="1"/>
    <xf numFmtId="0" fontId="19" fillId="15" borderId="6" xfId="0" applyFont="1" applyFill="1" applyBorder="1"/>
    <xf numFmtId="0" fontId="19" fillId="15" borderId="7" xfId="0" applyFont="1" applyFill="1" applyBorder="1" applyAlignment="1"/>
    <xf numFmtId="0" fontId="19" fillId="2" borderId="0" xfId="0" applyFont="1" applyFill="1"/>
    <xf numFmtId="0" fontId="63" fillId="15" borderId="0" xfId="0" applyFont="1" applyFill="1" applyBorder="1" applyAlignment="1">
      <alignment horizontal="left" wrapText="1"/>
    </xf>
    <xf numFmtId="0" fontId="19" fillId="15" borderId="7" xfId="0" applyFont="1" applyFill="1" applyBorder="1"/>
    <xf numFmtId="0" fontId="19" fillId="23" borderId="42" xfId="0" applyFont="1" applyFill="1" applyBorder="1"/>
    <xf numFmtId="0" fontId="19" fillId="23" borderId="44" xfId="0" applyFont="1" applyFill="1" applyBorder="1"/>
    <xf numFmtId="0" fontId="19" fillId="23" borderId="0" xfId="0" applyFont="1" applyFill="1" applyBorder="1"/>
    <xf numFmtId="0" fontId="19" fillId="23" borderId="45" xfId="0" applyFont="1" applyFill="1" applyBorder="1"/>
    <xf numFmtId="0" fontId="102" fillId="23" borderId="44" xfId="0" applyFont="1" applyFill="1" applyBorder="1"/>
    <xf numFmtId="0" fontId="103" fillId="23" borderId="44" xfId="0" applyFont="1" applyFill="1" applyBorder="1"/>
    <xf numFmtId="0" fontId="102" fillId="23" borderId="42" xfId="0" applyFont="1" applyFill="1" applyBorder="1"/>
    <xf numFmtId="0" fontId="102" fillId="23" borderId="0" xfId="0" applyFont="1" applyFill="1" applyBorder="1"/>
    <xf numFmtId="0" fontId="103" fillId="23" borderId="0" xfId="0" applyFont="1" applyFill="1" applyBorder="1"/>
    <xf numFmtId="17" fontId="103" fillId="23" borderId="43" xfId="0" applyNumberFormat="1" applyFont="1" applyFill="1" applyBorder="1"/>
    <xf numFmtId="0" fontId="102" fillId="23" borderId="45" xfId="0" applyFont="1" applyFill="1" applyBorder="1"/>
    <xf numFmtId="0" fontId="103" fillId="23" borderId="45" xfId="0" applyFont="1" applyFill="1" applyBorder="1"/>
    <xf numFmtId="0" fontId="103" fillId="23" borderId="43" xfId="0" applyFont="1" applyFill="1" applyBorder="1"/>
    <xf numFmtId="0" fontId="19" fillId="23" borderId="46" xfId="0" applyFont="1" applyFill="1" applyBorder="1"/>
    <xf numFmtId="0" fontId="19" fillId="23" borderId="47" xfId="0" applyFont="1" applyFill="1" applyBorder="1"/>
    <xf numFmtId="0" fontId="19" fillId="23" borderId="48" xfId="0" applyFont="1" applyFill="1" applyBorder="1"/>
    <xf numFmtId="0" fontId="106" fillId="23" borderId="40" xfId="0" applyFont="1" applyFill="1" applyBorder="1" applyAlignment="1">
      <alignment vertical="top"/>
    </xf>
    <xf numFmtId="0" fontId="106" fillId="23" borderId="40" xfId="0" applyFont="1" applyFill="1" applyBorder="1"/>
    <xf numFmtId="0" fontId="105" fillId="23" borderId="44" xfId="0" applyFont="1" applyFill="1" applyBorder="1"/>
    <xf numFmtId="0" fontId="105" fillId="23" borderId="0" xfId="0" applyFont="1" applyFill="1" applyBorder="1"/>
    <xf numFmtId="0" fontId="105" fillId="23" borderId="45" xfId="0" applyFont="1" applyFill="1" applyBorder="1"/>
    <xf numFmtId="1" fontId="28" fillId="9" borderId="25" xfId="0" applyNumberFormat="1" applyFont="1" applyFill="1" applyBorder="1" applyAlignment="1">
      <alignment horizontal="center"/>
    </xf>
    <xf numFmtId="1" fontId="22" fillId="4" borderId="114" xfId="0" applyNumberFormat="1" applyFont="1" applyFill="1" applyBorder="1" applyAlignment="1" applyProtection="1">
      <alignment horizontal="center"/>
      <protection locked="0"/>
    </xf>
    <xf numFmtId="0" fontId="19" fillId="4" borderId="5" xfId="0" applyFont="1" applyFill="1" applyBorder="1" applyProtection="1"/>
    <xf numFmtId="0" fontId="19" fillId="4" borderId="31" xfId="0" applyFont="1" applyFill="1" applyBorder="1" applyProtection="1"/>
    <xf numFmtId="164" fontId="19" fillId="21" borderId="31" xfId="0" applyNumberFormat="1" applyFont="1" applyFill="1" applyBorder="1" applyProtection="1"/>
    <xf numFmtId="10" fontId="19" fillId="18" borderId="114" xfId="0" applyNumberFormat="1" applyFont="1" applyFill="1" applyBorder="1" applyAlignment="1" applyProtection="1">
      <alignment horizontal="right" shrinkToFit="1"/>
    </xf>
    <xf numFmtId="168" fontId="19" fillId="4" borderId="114" xfId="0" applyNumberFormat="1" applyFont="1" applyFill="1" applyBorder="1" applyProtection="1">
      <protection locked="0"/>
    </xf>
    <xf numFmtId="168" fontId="19" fillId="22" borderId="114" xfId="0" applyNumberFormat="1" applyFont="1" applyFill="1" applyBorder="1" applyProtection="1"/>
    <xf numFmtId="1" fontId="19" fillId="4" borderId="5" xfId="0" applyNumberFormat="1" applyFont="1" applyFill="1" applyBorder="1" applyProtection="1"/>
    <xf numFmtId="168" fontId="88" fillId="22" borderId="114" xfId="0" applyNumberFormat="1" applyFont="1" applyFill="1" applyBorder="1" applyProtection="1"/>
    <xf numFmtId="168" fontId="19" fillId="22" borderId="115" xfId="0" applyNumberFormat="1" applyFont="1" applyFill="1" applyBorder="1" applyProtection="1"/>
    <xf numFmtId="10" fontId="19" fillId="4" borderId="115" xfId="0" applyNumberFormat="1" applyFont="1" applyFill="1" applyBorder="1" applyAlignment="1" applyProtection="1">
      <alignment horizontal="right" shrinkToFit="1"/>
      <protection locked="0"/>
    </xf>
    <xf numFmtId="168" fontId="19" fillId="22" borderId="114" xfId="0" applyNumberFormat="1" applyFont="1" applyFill="1" applyBorder="1" applyAlignment="1" applyProtection="1">
      <alignment horizontal="right"/>
    </xf>
    <xf numFmtId="165" fontId="19" fillId="4" borderId="114" xfId="0" applyNumberFormat="1" applyFont="1" applyFill="1" applyBorder="1" applyProtection="1">
      <protection locked="0"/>
    </xf>
    <xf numFmtId="3" fontId="19" fillId="4" borderId="114" xfId="0" applyNumberFormat="1" applyFont="1" applyFill="1" applyBorder="1" applyProtection="1">
      <protection locked="0"/>
    </xf>
    <xf numFmtId="1" fontId="19" fillId="22" borderId="114" xfId="0" applyNumberFormat="1" applyFont="1" applyFill="1" applyBorder="1" applyProtection="1"/>
    <xf numFmtId="165" fontId="19" fillId="4" borderId="114" xfId="0" applyNumberFormat="1" applyFont="1" applyFill="1" applyBorder="1" applyAlignment="1" applyProtection="1">
      <alignment horizontal="right"/>
      <protection locked="0"/>
    </xf>
    <xf numFmtId="166" fontId="19" fillId="4" borderId="114" xfId="0" applyNumberFormat="1" applyFont="1" applyFill="1" applyBorder="1" applyProtection="1">
      <protection locked="0"/>
    </xf>
    <xf numFmtId="169" fontId="19" fillId="4" borderId="114" xfId="0" applyNumberFormat="1" applyFont="1" applyFill="1" applyBorder="1" applyProtection="1">
      <protection locked="0"/>
    </xf>
    <xf numFmtId="0" fontId="19" fillId="0" borderId="0" xfId="0" applyFont="1" applyFill="1" applyProtection="1"/>
    <xf numFmtId="0" fontId="19" fillId="16" borderId="0" xfId="0" applyFont="1" applyFill="1"/>
    <xf numFmtId="0" fontId="28" fillId="0" borderId="0" xfId="0" applyFont="1" applyFill="1" applyAlignment="1">
      <alignment horizontal="left"/>
    </xf>
    <xf numFmtId="0" fontId="73" fillId="24" borderId="0" xfId="0" applyFont="1" applyFill="1" applyAlignment="1" applyProtection="1">
      <alignment vertical="center"/>
    </xf>
    <xf numFmtId="0" fontId="73" fillId="24" borderId="0" xfId="0" applyFont="1" applyFill="1" applyAlignment="1" applyProtection="1">
      <alignment horizontal="center"/>
    </xf>
    <xf numFmtId="0" fontId="73" fillId="24" borderId="0" xfId="0" applyFont="1" applyFill="1" applyProtection="1"/>
    <xf numFmtId="0" fontId="73" fillId="24" borderId="0" xfId="0" applyFont="1" applyFill="1" applyBorder="1" applyProtection="1"/>
    <xf numFmtId="1" fontId="19" fillId="24" borderId="0" xfId="0" applyNumberFormat="1" applyFont="1" applyFill="1" applyProtection="1"/>
    <xf numFmtId="0" fontId="19" fillId="0" borderId="0" xfId="0" applyFont="1" applyBorder="1" applyAlignment="1" applyProtection="1">
      <alignment wrapText="1"/>
    </xf>
    <xf numFmtId="0" fontId="19" fillId="0" borderId="0" xfId="0" applyFont="1" applyBorder="1" applyAlignment="1" applyProtection="1"/>
    <xf numFmtId="1" fontId="73" fillId="24" borderId="0" xfId="0" applyNumberFormat="1" applyFont="1" applyFill="1" applyBorder="1" applyProtection="1"/>
    <xf numFmtId="0" fontId="19" fillId="0" borderId="0" xfId="0" applyFont="1" applyProtection="1">
      <protection hidden="1"/>
    </xf>
    <xf numFmtId="0" fontId="19" fillId="0" borderId="40" xfId="0" applyFont="1" applyBorder="1" applyProtection="1">
      <protection locked="0"/>
    </xf>
    <xf numFmtId="0" fontId="19" fillId="0" borderId="42" xfId="0" applyFont="1" applyBorder="1" applyProtection="1">
      <protection locked="0"/>
    </xf>
    <xf numFmtId="0" fontId="19" fillId="0" borderId="43" xfId="0" applyNumberFormat="1" applyFont="1" applyBorder="1" applyProtection="1">
      <protection locked="0"/>
    </xf>
    <xf numFmtId="4" fontId="19" fillId="0" borderId="0" xfId="1" applyNumberFormat="1" applyFont="1" applyBorder="1" applyProtection="1">
      <protection locked="0"/>
    </xf>
    <xf numFmtId="43" fontId="118" fillId="0" borderId="0" xfId="0" applyNumberFormat="1" applyFont="1" applyBorder="1" applyProtection="1">
      <protection locked="0"/>
    </xf>
    <xf numFmtId="0" fontId="19" fillId="0" borderId="0" xfId="0" applyFont="1" applyBorder="1" applyProtection="1">
      <protection locked="0"/>
    </xf>
    <xf numFmtId="0" fontId="118" fillId="0" borderId="0" xfId="0" applyFont="1" applyBorder="1" applyProtection="1">
      <protection locked="0"/>
    </xf>
    <xf numFmtId="0" fontId="19" fillId="0" borderId="0" xfId="0" applyFont="1" applyProtection="1">
      <protection locked="0"/>
    </xf>
    <xf numFmtId="10" fontId="19" fillId="23" borderId="114" xfId="0" applyNumberFormat="1" applyFont="1" applyFill="1" applyBorder="1" applyAlignment="1" applyProtection="1">
      <alignment horizontal="right" shrinkToFit="1"/>
      <protection locked="0"/>
    </xf>
    <xf numFmtId="0" fontId="120" fillId="16" borderId="0" xfId="0" applyFont="1" applyFill="1" applyProtection="1">
      <protection locked="0"/>
    </xf>
    <xf numFmtId="0" fontId="91" fillId="4" borderId="0" xfId="0" applyFont="1" applyFill="1"/>
    <xf numFmtId="0" fontId="91" fillId="0" borderId="0" xfId="0" applyFont="1" applyFill="1"/>
    <xf numFmtId="0" fontId="19" fillId="0" borderId="0" xfId="0" applyFont="1" applyAlignment="1"/>
    <xf numFmtId="0" fontId="19" fillId="0" borderId="0" xfId="0" applyFont="1" applyAlignment="1">
      <alignment vertical="center"/>
    </xf>
    <xf numFmtId="0" fontId="28" fillId="0" borderId="0" xfId="0" applyFont="1" applyFill="1" applyAlignment="1">
      <alignment wrapText="1"/>
    </xf>
    <xf numFmtId="0" fontId="28" fillId="0" borderId="0" xfId="0" applyFont="1" applyAlignment="1">
      <alignment wrapText="1"/>
    </xf>
    <xf numFmtId="0" fontId="28" fillId="15" borderId="49" xfId="0" applyFont="1" applyFill="1" applyBorder="1" applyAlignment="1">
      <alignment horizontal="left" vertical="center" wrapText="1"/>
    </xf>
    <xf numFmtId="0" fontId="88" fillId="15" borderId="49" xfId="0" applyFont="1" applyFill="1" applyBorder="1" applyAlignment="1">
      <alignment horizontal="center" wrapText="1"/>
    </xf>
    <xf numFmtId="0" fontId="82" fillId="16" borderId="0" xfId="0" applyFont="1" applyFill="1" applyProtection="1">
      <protection locked="0"/>
    </xf>
    <xf numFmtId="0" fontId="82" fillId="16" borderId="0" xfId="0" applyFont="1" applyFill="1" applyProtection="1"/>
    <xf numFmtId="0" fontId="82" fillId="17" borderId="0" xfId="0" quotePrefix="1" applyFont="1" applyFill="1" applyProtection="1"/>
    <xf numFmtId="2" fontId="22" fillId="21" borderId="116" xfId="0" applyNumberFormat="1" applyFont="1" applyFill="1" applyBorder="1" applyAlignment="1" applyProtection="1">
      <alignment vertical="center" wrapText="1"/>
    </xf>
    <xf numFmtId="2" fontId="22" fillId="21" borderId="0" xfId="0" applyNumberFormat="1" applyFont="1" applyFill="1" applyBorder="1" applyAlignment="1" applyProtection="1">
      <alignment vertical="center" wrapText="1"/>
    </xf>
    <xf numFmtId="0" fontId="28" fillId="15" borderId="16" xfId="0" applyFont="1" applyFill="1" applyBorder="1" applyAlignment="1">
      <alignment horizontal="center" vertical="center" wrapText="1"/>
    </xf>
    <xf numFmtId="0" fontId="28" fillId="15" borderId="49" xfId="0" applyFont="1" applyFill="1" applyBorder="1" applyAlignment="1">
      <alignment horizontal="center" vertical="center" wrapText="1"/>
    </xf>
    <xf numFmtId="0" fontId="28" fillId="15" borderId="49" xfId="0" applyFont="1" applyFill="1" applyBorder="1" applyAlignment="1">
      <alignment horizontal="center" vertical="top" wrapText="1"/>
    </xf>
    <xf numFmtId="0" fontId="28" fillId="15" borderId="16" xfId="0" applyFont="1" applyFill="1" applyBorder="1" applyAlignment="1">
      <alignment horizontal="center" vertical="top" wrapText="1"/>
    </xf>
    <xf numFmtId="0" fontId="91" fillId="0" borderId="0" xfId="0" applyFont="1" applyFill="1" applyProtection="1"/>
    <xf numFmtId="0" fontId="19" fillId="0" borderId="29" xfId="0" applyFont="1" applyBorder="1" applyAlignment="1" applyProtection="1">
      <alignment horizontal="center" vertical="center"/>
    </xf>
    <xf numFmtId="0" fontId="19" fillId="0" borderId="0" xfId="0" applyFont="1" applyFill="1" applyAlignment="1" applyProtection="1">
      <alignment wrapText="1"/>
    </xf>
    <xf numFmtId="0" fontId="19" fillId="0" borderId="42" xfId="0" applyFont="1" applyBorder="1" applyAlignment="1">
      <alignment vertical="center"/>
    </xf>
    <xf numFmtId="0" fontId="19" fillId="0" borderId="0" xfId="0" applyFont="1" applyBorder="1" applyAlignment="1" applyProtection="1">
      <alignment horizontal="center" vertical="center"/>
      <protection hidden="1"/>
    </xf>
    <xf numFmtId="0" fontId="19" fillId="4" borderId="0" xfId="0" applyFont="1" applyFill="1" applyBorder="1" applyAlignment="1">
      <alignment horizontal="left" vertical="center" wrapText="1"/>
    </xf>
    <xf numFmtId="0" fontId="19" fillId="4" borderId="47" xfId="0" applyFont="1" applyFill="1" applyBorder="1" applyAlignment="1">
      <alignment horizontal="left" vertical="center" wrapText="1"/>
    </xf>
    <xf numFmtId="0" fontId="19" fillId="0" borderId="50" xfId="0" applyFont="1" applyBorder="1" applyAlignment="1">
      <alignment vertical="center"/>
    </xf>
    <xf numFmtId="0" fontId="19" fillId="4" borderId="0" xfId="0" applyFont="1" applyFill="1" applyBorder="1" applyAlignment="1">
      <alignment horizontal="left" vertical="center"/>
    </xf>
    <xf numFmtId="0" fontId="19" fillId="0" borderId="43" xfId="0" applyFont="1" applyBorder="1" applyAlignment="1">
      <alignment vertical="center"/>
    </xf>
    <xf numFmtId="0" fontId="19" fillId="4" borderId="45" xfId="0" applyFont="1" applyFill="1" applyBorder="1" applyAlignment="1">
      <alignment horizontal="left" vertical="center"/>
    </xf>
    <xf numFmtId="0" fontId="19" fillId="23" borderId="45" xfId="0" applyFont="1" applyFill="1" applyBorder="1" applyAlignment="1">
      <alignment vertical="center"/>
    </xf>
    <xf numFmtId="0" fontId="19" fillId="4" borderId="45" xfId="0" applyFont="1" applyFill="1" applyBorder="1" applyAlignment="1">
      <alignment horizontal="left" vertical="center" wrapText="1"/>
    </xf>
    <xf numFmtId="0" fontId="19" fillId="4" borderId="48" xfId="0" applyFont="1" applyFill="1" applyBorder="1" applyAlignment="1">
      <alignment horizontal="left" vertical="center" wrapText="1"/>
    </xf>
    <xf numFmtId="0" fontId="22" fillId="0" borderId="51" xfId="6" applyFont="1" applyFill="1" applyBorder="1" applyAlignment="1" applyProtection="1">
      <alignment horizontal="center" vertical="center" wrapText="1"/>
    </xf>
    <xf numFmtId="0" fontId="22" fillId="0" borderId="52" xfId="6" applyFont="1" applyBorder="1" applyAlignment="1" applyProtection="1">
      <alignment horizontal="center" vertical="center" wrapText="1"/>
    </xf>
    <xf numFmtId="0" fontId="22" fillId="0" borderId="53" xfId="6" applyFont="1" applyBorder="1" applyAlignment="1" applyProtection="1">
      <alignment horizontal="center" vertical="center" wrapText="1"/>
    </xf>
    <xf numFmtId="0" fontId="22" fillId="0" borderId="54" xfId="6" applyFont="1" applyBorder="1" applyAlignment="1" applyProtection="1">
      <alignment horizontal="center" vertical="center" wrapText="1"/>
    </xf>
    <xf numFmtId="0" fontId="22" fillId="0" borderId="51" xfId="6" applyFont="1" applyBorder="1" applyAlignment="1" applyProtection="1">
      <alignment horizontal="center" vertical="center" wrapText="1"/>
    </xf>
    <xf numFmtId="0" fontId="22" fillId="11" borderId="52" xfId="6" applyFont="1" applyFill="1" applyBorder="1" applyAlignment="1" applyProtection="1">
      <alignment horizontal="center" vertical="center" wrapText="1"/>
    </xf>
    <xf numFmtId="0" fontId="45" fillId="12" borderId="51" xfId="6" applyFont="1" applyFill="1" applyBorder="1" applyAlignment="1" applyProtection="1">
      <alignment horizontal="center" vertical="center" wrapText="1"/>
    </xf>
    <xf numFmtId="0" fontId="22" fillId="12" borderId="51" xfId="6" applyFont="1" applyFill="1" applyBorder="1" applyAlignment="1" applyProtection="1">
      <alignment horizontal="center" vertical="center" wrapText="1"/>
    </xf>
    <xf numFmtId="0" fontId="22" fillId="4" borderId="51" xfId="6" applyFont="1" applyFill="1" applyBorder="1" applyAlignment="1" applyProtection="1">
      <alignment horizontal="center" vertical="center" wrapText="1"/>
    </xf>
    <xf numFmtId="0" fontId="22" fillId="24" borderId="55" xfId="6" applyFont="1" applyFill="1" applyBorder="1" applyAlignment="1" applyProtection="1">
      <alignment horizontal="center" vertical="center" wrapText="1"/>
    </xf>
    <xf numFmtId="0" fontId="22" fillId="25" borderId="52" xfId="6" applyFont="1" applyFill="1" applyBorder="1" applyAlignment="1" applyProtection="1">
      <alignment horizontal="center" vertical="center" wrapText="1"/>
    </xf>
    <xf numFmtId="0" fontId="108" fillId="24" borderId="52" xfId="6" applyFont="1" applyFill="1" applyBorder="1" applyAlignment="1" applyProtection="1">
      <alignment horizontal="center" vertical="center" wrapText="1"/>
    </xf>
    <xf numFmtId="0" fontId="108" fillId="24" borderId="51" xfId="6" applyFont="1" applyFill="1" applyBorder="1" applyAlignment="1" applyProtection="1">
      <alignment horizontal="center" vertical="center" wrapText="1"/>
    </xf>
    <xf numFmtId="0" fontId="22" fillId="24" borderId="52" xfId="6" applyFont="1" applyFill="1" applyBorder="1" applyAlignment="1" applyProtection="1">
      <alignment horizontal="center" vertical="center" wrapText="1"/>
    </xf>
    <xf numFmtId="0" fontId="45" fillId="25" borderId="51" xfId="6" applyFont="1" applyFill="1" applyBorder="1" applyAlignment="1" applyProtection="1">
      <alignment horizontal="center" vertical="center" wrapText="1"/>
    </xf>
    <xf numFmtId="0" fontId="108" fillId="24" borderId="56" xfId="6" applyFont="1" applyFill="1" applyBorder="1" applyAlignment="1" applyProtection="1">
      <alignment horizontal="center" vertical="center" wrapText="1"/>
    </xf>
    <xf numFmtId="0" fontId="19" fillId="0" borderId="29" xfId="0" applyFont="1" applyFill="1" applyBorder="1" applyProtection="1"/>
    <xf numFmtId="0" fontId="19" fillId="0" borderId="52" xfId="0" applyFont="1" applyFill="1" applyBorder="1" applyProtection="1"/>
    <xf numFmtId="0" fontId="19" fillId="0" borderId="57" xfId="0" applyFont="1" applyFill="1" applyBorder="1" applyProtection="1"/>
    <xf numFmtId="1" fontId="19" fillId="0" borderId="0" xfId="0" applyNumberFormat="1" applyFont="1" applyFill="1" applyAlignment="1" applyProtection="1">
      <alignment wrapText="1"/>
    </xf>
    <xf numFmtId="0" fontId="19" fillId="0" borderId="0" xfId="0" applyFont="1" applyFill="1" applyBorder="1" applyAlignment="1" applyProtection="1">
      <alignment horizontal="center" vertical="center" wrapText="1"/>
    </xf>
    <xf numFmtId="0" fontId="121" fillId="0" borderId="0" xfId="0" applyFont="1" applyFill="1" applyAlignment="1" applyProtection="1">
      <alignment wrapText="1"/>
    </xf>
    <xf numFmtId="0" fontId="22" fillId="25" borderId="50" xfId="6" applyFont="1" applyFill="1" applyBorder="1" applyAlignment="1" applyProtection="1">
      <alignment horizontal="center" vertical="center" wrapText="1"/>
    </xf>
    <xf numFmtId="0" fontId="82" fillId="24" borderId="0" xfId="0" applyFont="1" applyFill="1" applyProtection="1"/>
    <xf numFmtId="1" fontId="82" fillId="24" borderId="0" xfId="0" applyNumberFormat="1" applyFont="1" applyFill="1" applyProtection="1"/>
    <xf numFmtId="0" fontId="83" fillId="24" borderId="0" xfId="0" applyFont="1" applyFill="1" applyBorder="1" applyAlignment="1" applyProtection="1">
      <alignment horizontal="right" vertical="center"/>
    </xf>
    <xf numFmtId="1" fontId="83" fillId="24" borderId="0" xfId="0" applyNumberFormat="1" applyFont="1" applyFill="1" applyBorder="1" applyAlignment="1" applyProtection="1">
      <alignment horizontal="right" vertical="center"/>
    </xf>
    <xf numFmtId="0" fontId="82" fillId="24" borderId="0" xfId="0" applyFont="1" applyFill="1" applyBorder="1" applyProtection="1"/>
    <xf numFmtId="0" fontId="82" fillId="24" borderId="0" xfId="0" quotePrefix="1" applyFont="1" applyFill="1" applyBorder="1" applyProtection="1"/>
    <xf numFmtId="0" fontId="91" fillId="24" borderId="0" xfId="0" applyFont="1" applyFill="1" applyAlignment="1" applyProtection="1">
      <alignment wrapText="1"/>
    </xf>
    <xf numFmtId="0" fontId="19" fillId="24" borderId="0" xfId="0" applyFont="1" applyFill="1" applyBorder="1" applyAlignment="1" applyProtection="1"/>
    <xf numFmtId="0" fontId="19" fillId="24" borderId="0" xfId="0" applyFont="1" applyFill="1" applyBorder="1" applyAlignment="1" applyProtection="1">
      <alignment wrapText="1"/>
    </xf>
    <xf numFmtId="0" fontId="19" fillId="15" borderId="58" xfId="0" applyFont="1" applyFill="1" applyBorder="1" applyAlignment="1" applyProtection="1"/>
    <xf numFmtId="0" fontId="91" fillId="15" borderId="8" xfId="0" applyFont="1" applyFill="1" applyBorder="1" applyProtection="1"/>
    <xf numFmtId="0" fontId="91" fillId="15" borderId="59" xfId="0" applyFont="1" applyFill="1" applyBorder="1" applyProtection="1"/>
    <xf numFmtId="0" fontId="91" fillId="15" borderId="6" xfId="0" applyFont="1" applyFill="1" applyBorder="1" applyProtection="1"/>
    <xf numFmtId="0" fontId="91" fillId="15" borderId="6" xfId="0" applyFont="1" applyFill="1" applyBorder="1" applyAlignment="1" applyProtection="1">
      <alignment wrapText="1"/>
    </xf>
    <xf numFmtId="0" fontId="5" fillId="24" borderId="0" xfId="0" applyFont="1" applyFill="1" applyProtection="1"/>
    <xf numFmtId="0" fontId="5" fillId="24" borderId="0" xfId="0" applyFont="1" applyFill="1" applyBorder="1" applyProtection="1"/>
    <xf numFmtId="0" fontId="9" fillId="24" borderId="0" xfId="0" applyFont="1" applyFill="1" applyProtection="1"/>
    <xf numFmtId="0" fontId="91" fillId="24" borderId="0" xfId="0" applyFont="1" applyFill="1"/>
    <xf numFmtId="0" fontId="28" fillId="24" borderId="0" xfId="0" applyFont="1" applyFill="1" applyAlignment="1">
      <alignment wrapText="1"/>
    </xf>
    <xf numFmtId="0" fontId="19" fillId="24" borderId="0" xfId="0" applyFont="1" applyFill="1"/>
    <xf numFmtId="0" fontId="19" fillId="24" borderId="0" xfId="0" applyFont="1" applyFill="1" applyAlignment="1">
      <alignment horizontal="left"/>
    </xf>
    <xf numFmtId="0" fontId="19" fillId="24" borderId="0" xfId="0" applyFont="1" applyFill="1" applyAlignment="1">
      <alignment horizontal="left" vertical="center"/>
    </xf>
    <xf numFmtId="0" fontId="91" fillId="24" borderId="0" xfId="0" applyFont="1" applyFill="1" applyAlignment="1"/>
    <xf numFmtId="0" fontId="91" fillId="24" borderId="0" xfId="0" applyFont="1" applyFill="1" applyAlignment="1">
      <alignment vertical="center"/>
    </xf>
    <xf numFmtId="0" fontId="19" fillId="24" borderId="0" xfId="0" applyFont="1" applyFill="1" applyAlignment="1"/>
    <xf numFmtId="0" fontId="91" fillId="15" borderId="8" xfId="0" applyFont="1" applyFill="1" applyBorder="1"/>
    <xf numFmtId="0" fontId="28" fillId="15" borderId="9" xfId="0" applyFont="1" applyFill="1" applyBorder="1" applyAlignment="1">
      <alignment wrapText="1"/>
    </xf>
    <xf numFmtId="0" fontId="19" fillId="15" borderId="9" xfId="0" applyFont="1" applyFill="1" applyBorder="1"/>
    <xf numFmtId="0" fontId="19" fillId="15" borderId="10" xfId="0" applyFont="1" applyFill="1" applyBorder="1"/>
    <xf numFmtId="0" fontId="91" fillId="15" borderId="6" xfId="0" applyFont="1" applyFill="1" applyBorder="1"/>
    <xf numFmtId="0" fontId="91" fillId="15" borderId="6" xfId="0" applyFont="1" applyFill="1" applyBorder="1" applyAlignment="1"/>
    <xf numFmtId="0" fontId="91" fillId="15" borderId="6" xfId="0" applyFont="1" applyFill="1" applyBorder="1" applyAlignment="1">
      <alignment vertical="center"/>
    </xf>
    <xf numFmtId="0" fontId="19" fillId="15" borderId="6" xfId="0" applyFont="1" applyFill="1" applyBorder="1" applyAlignment="1"/>
    <xf numFmtId="0" fontId="19" fillId="15" borderId="7" xfId="0" applyFont="1" applyFill="1" applyBorder="1" applyAlignment="1">
      <alignment vertical="center"/>
    </xf>
    <xf numFmtId="0" fontId="28" fillId="15" borderId="0" xfId="0" applyFont="1" applyFill="1" applyBorder="1" applyAlignment="1">
      <alignment horizontal="left" wrapText="1"/>
    </xf>
    <xf numFmtId="0" fontId="19" fillId="15" borderId="0" xfId="0" applyFont="1" applyFill="1" applyBorder="1" applyAlignment="1">
      <alignment horizontal="left" vertical="center"/>
    </xf>
    <xf numFmtId="0" fontId="19" fillId="15" borderId="0" xfId="0" applyFont="1" applyFill="1" applyBorder="1" applyAlignment="1">
      <alignment vertical="center"/>
    </xf>
    <xf numFmtId="0" fontId="28" fillId="15" borderId="0" xfId="0" applyFont="1" applyFill="1" applyBorder="1" applyAlignment="1">
      <alignment wrapText="1"/>
    </xf>
    <xf numFmtId="0" fontId="45" fillId="15" borderId="0" xfId="0" applyFont="1" applyFill="1" applyBorder="1" applyAlignment="1">
      <alignment horizontal="left" vertical="center" wrapText="1"/>
    </xf>
    <xf numFmtId="0" fontId="19" fillId="15" borderId="0" xfId="0" applyFont="1" applyFill="1" applyBorder="1" applyAlignment="1">
      <alignment vertical="center" wrapText="1"/>
    </xf>
    <xf numFmtId="0" fontId="28" fillId="15" borderId="0" xfId="0" applyFont="1" applyFill="1" applyBorder="1" applyAlignment="1">
      <alignment horizontal="left" vertical="center" wrapText="1"/>
    </xf>
    <xf numFmtId="0" fontId="28" fillId="15" borderId="0" xfId="0" applyFont="1" applyFill="1" applyBorder="1" applyAlignment="1">
      <alignment horizontal="left" vertical="center"/>
    </xf>
    <xf numFmtId="0" fontId="19" fillId="15" borderId="0" xfId="0" applyFont="1" applyFill="1" applyBorder="1" applyAlignment="1">
      <alignment horizontal="left" vertical="center" wrapText="1"/>
    </xf>
    <xf numFmtId="0" fontId="13" fillId="24" borderId="0" xfId="0" applyFont="1" applyFill="1"/>
    <xf numFmtId="0" fontId="5" fillId="24" borderId="0" xfId="0" applyFont="1" applyFill="1"/>
    <xf numFmtId="0" fontId="23" fillId="24" borderId="0" xfId="0" applyFont="1" applyFill="1"/>
    <xf numFmtId="0" fontId="5" fillId="24" borderId="0" xfId="0" applyFont="1" applyFill="1" applyBorder="1" applyAlignment="1"/>
    <xf numFmtId="0" fontId="5" fillId="24" borderId="0" xfId="0" applyFont="1" applyFill="1" applyBorder="1"/>
    <xf numFmtId="0" fontId="19" fillId="24" borderId="0" xfId="0" applyFont="1" applyFill="1" applyBorder="1" applyAlignment="1"/>
    <xf numFmtId="0" fontId="19" fillId="24" borderId="0" xfId="0" applyFont="1" applyFill="1" applyBorder="1"/>
    <xf numFmtId="0" fontId="19" fillId="23" borderId="114" xfId="0" applyFont="1" applyFill="1" applyBorder="1" applyAlignment="1" applyProtection="1">
      <alignment horizontal="center" vertical="center"/>
      <protection locked="0"/>
    </xf>
    <xf numFmtId="174" fontId="19" fillId="23" borderId="114" xfId="0" applyNumberFormat="1" applyFont="1" applyFill="1" applyBorder="1" applyAlignment="1" applyProtection="1">
      <alignment horizontal="center" vertical="center"/>
      <protection locked="0"/>
    </xf>
    <xf numFmtId="0" fontId="19" fillId="15" borderId="0" xfId="0" applyFont="1" applyFill="1" applyBorder="1" applyAlignment="1" applyProtection="1">
      <alignment horizontal="center" vertical="center"/>
    </xf>
    <xf numFmtId="0" fontId="117" fillId="15" borderId="21" xfId="0" applyFont="1" applyFill="1" applyBorder="1" applyAlignment="1" applyProtection="1">
      <alignment vertical="center" wrapText="1"/>
    </xf>
    <xf numFmtId="0" fontId="117" fillId="15" borderId="21" xfId="4" applyFont="1" applyFill="1" applyBorder="1" applyAlignment="1" applyProtection="1">
      <alignment horizontal="center" vertical="center" wrapText="1" shrinkToFit="1"/>
    </xf>
    <xf numFmtId="0" fontId="117" fillId="15" borderId="0" xfId="0" applyFont="1" applyFill="1" applyBorder="1" applyAlignment="1" applyProtection="1">
      <alignment horizontal="center" vertical="center" wrapText="1"/>
    </xf>
    <xf numFmtId="0" fontId="117" fillId="15" borderId="0" xfId="0" applyFont="1" applyFill="1" applyBorder="1" applyAlignment="1" applyProtection="1">
      <alignment horizontal="center" vertical="center"/>
    </xf>
    <xf numFmtId="0" fontId="117" fillId="15" borderId="21" xfId="0" applyFont="1" applyFill="1" applyBorder="1" applyAlignment="1" applyProtection="1">
      <alignment horizontal="center" vertical="center"/>
    </xf>
    <xf numFmtId="0" fontId="117" fillId="15" borderId="0" xfId="0" applyFont="1" applyFill="1" applyBorder="1" applyAlignment="1" applyProtection="1">
      <alignment vertical="center" wrapText="1"/>
    </xf>
    <xf numFmtId="0" fontId="117" fillId="15" borderId="23" xfId="0" applyFont="1" applyFill="1" applyBorder="1" applyAlignment="1" applyProtection="1">
      <alignment vertical="center" wrapText="1"/>
    </xf>
    <xf numFmtId="168" fontId="117" fillId="15" borderId="23" xfId="0" applyNumberFormat="1" applyFont="1" applyFill="1" applyBorder="1" applyAlignment="1" applyProtection="1">
      <alignment vertical="center" wrapText="1"/>
    </xf>
    <xf numFmtId="0" fontId="29" fillId="24" borderId="52" xfId="6" applyFont="1" applyFill="1" applyBorder="1" applyAlignment="1" applyProtection="1">
      <alignment horizontal="center" vertical="center" wrapText="1"/>
    </xf>
    <xf numFmtId="0" fontId="22" fillId="0" borderId="51" xfId="6" applyFont="1" applyFill="1" applyBorder="1" applyAlignment="1" applyProtection="1">
      <alignment horizontal="right" vertical="center" wrapText="1"/>
    </xf>
    <xf numFmtId="0" fontId="22" fillId="0" borderId="51" xfId="6" applyFont="1" applyFill="1" applyBorder="1" applyAlignment="1" applyProtection="1">
      <alignment horizontal="right" wrapText="1"/>
    </xf>
    <xf numFmtId="0" fontId="106" fillId="23" borderId="42" xfId="0" applyFont="1" applyFill="1" applyBorder="1"/>
    <xf numFmtId="0" fontId="28" fillId="15" borderId="60" xfId="6" applyFont="1" applyFill="1" applyBorder="1" applyAlignment="1" applyProtection="1">
      <alignment vertical="center" wrapText="1"/>
    </xf>
    <xf numFmtId="0" fontId="19" fillId="15" borderId="0" xfId="0" applyFont="1" applyFill="1" applyBorder="1" applyAlignment="1" applyProtection="1">
      <alignment vertical="center" wrapText="1"/>
    </xf>
    <xf numFmtId="0" fontId="19" fillId="21" borderId="0" xfId="0" applyFont="1" applyFill="1" applyBorder="1" applyAlignment="1" applyProtection="1">
      <alignment horizontal="center" vertical="center"/>
    </xf>
    <xf numFmtId="0" fontId="73" fillId="15" borderId="0" xfId="0" applyFont="1" applyFill="1" applyBorder="1" applyAlignment="1" applyProtection="1">
      <alignment horizontal="center" vertical="center"/>
    </xf>
    <xf numFmtId="0" fontId="19" fillId="21" borderId="0" xfId="0" applyFont="1" applyFill="1" applyBorder="1" applyAlignment="1" applyProtection="1">
      <alignment horizontal="center"/>
    </xf>
    <xf numFmtId="0" fontId="19" fillId="21" borderId="0" xfId="0" applyFont="1" applyFill="1" applyBorder="1" applyAlignment="1" applyProtection="1"/>
    <xf numFmtId="0" fontId="19" fillId="21" borderId="0" xfId="0" applyFont="1" applyFill="1" applyBorder="1" applyAlignment="1" applyProtection="1">
      <alignment horizontal="center" wrapText="1"/>
    </xf>
    <xf numFmtId="4" fontId="86" fillId="15" borderId="0" xfId="0" applyNumberFormat="1" applyFont="1" applyFill="1" applyBorder="1" applyAlignment="1" applyProtection="1">
      <alignment horizontal="center" vertical="center"/>
      <protection hidden="1"/>
    </xf>
    <xf numFmtId="0" fontId="2" fillId="15" borderId="41" xfId="4" applyFill="1" applyBorder="1" applyAlignment="1" applyProtection="1">
      <alignment horizontal="right" vertical="center" wrapText="1"/>
    </xf>
    <xf numFmtId="0" fontId="2" fillId="15" borderId="61" xfId="4" applyFill="1" applyBorder="1" applyAlignment="1" applyProtection="1">
      <alignment horizontal="right" vertical="center" wrapText="1"/>
    </xf>
    <xf numFmtId="0" fontId="19" fillId="21" borderId="117" xfId="0" applyFont="1" applyFill="1" applyBorder="1" applyProtection="1"/>
    <xf numFmtId="0" fontId="19" fillId="21" borderId="118" xfId="0" applyFont="1" applyFill="1" applyBorder="1" applyProtection="1"/>
    <xf numFmtId="1" fontId="19" fillId="21" borderId="0" xfId="0" applyNumberFormat="1" applyFont="1" applyFill="1" applyBorder="1" applyAlignment="1" applyProtection="1">
      <alignment horizontal="center" wrapText="1"/>
    </xf>
    <xf numFmtId="0" fontId="28" fillId="21" borderId="0" xfId="0" applyFont="1" applyFill="1" applyBorder="1" applyAlignment="1" applyProtection="1">
      <alignment horizontal="center"/>
    </xf>
    <xf numFmtId="0" fontId="18" fillId="21" borderId="118" xfId="0" applyFont="1" applyFill="1" applyBorder="1" applyProtection="1"/>
    <xf numFmtId="0" fontId="41" fillId="21" borderId="0" xfId="0" applyFont="1" applyFill="1" applyBorder="1" applyProtection="1"/>
    <xf numFmtId="0" fontId="35" fillId="21" borderId="0" xfId="0" applyFont="1" applyFill="1" applyBorder="1" applyAlignment="1" applyProtection="1">
      <alignment horizontal="center" vertical="center"/>
      <protection hidden="1"/>
    </xf>
    <xf numFmtId="0" fontId="41" fillId="21" borderId="0" xfId="0" applyFont="1" applyFill="1" applyBorder="1" applyAlignment="1" applyProtection="1">
      <alignment horizontal="center" vertical="center"/>
    </xf>
    <xf numFmtId="0" fontId="73" fillId="15" borderId="117" xfId="0" applyFont="1" applyFill="1" applyBorder="1" applyProtection="1"/>
    <xf numFmtId="0" fontId="73" fillId="15" borderId="118" xfId="0" applyFont="1" applyFill="1" applyBorder="1" applyAlignment="1" applyProtection="1">
      <alignment vertical="center"/>
    </xf>
    <xf numFmtId="0" fontId="73" fillId="15" borderId="118" xfId="0" applyFont="1" applyFill="1" applyBorder="1" applyAlignment="1" applyProtection="1">
      <alignment horizontal="center"/>
    </xf>
    <xf numFmtId="0" fontId="73" fillId="15" borderId="118" xfId="0" applyFont="1" applyFill="1" applyBorder="1" applyProtection="1"/>
    <xf numFmtId="0" fontId="73" fillId="15" borderId="119" xfId="0" applyFont="1" applyFill="1" applyBorder="1" applyProtection="1"/>
    <xf numFmtId="2" fontId="78" fillId="15" borderId="120" xfId="4" applyNumberFormat="1" applyFont="1" applyFill="1" applyBorder="1" applyAlignment="1" applyProtection="1">
      <alignment horizontal="left"/>
    </xf>
    <xf numFmtId="0" fontId="71" fillId="15" borderId="120" xfId="0" applyFont="1" applyFill="1" applyBorder="1" applyProtection="1"/>
    <xf numFmtId="1" fontId="71" fillId="15" borderId="120" xfId="0" applyNumberFormat="1" applyFont="1" applyFill="1" applyBorder="1" applyProtection="1"/>
    <xf numFmtId="0" fontId="73" fillId="15" borderId="120" xfId="0" applyFont="1" applyFill="1" applyBorder="1" applyProtection="1"/>
    <xf numFmtId="0" fontId="73" fillId="15" borderId="121" xfId="0" applyFont="1" applyFill="1" applyBorder="1" applyProtection="1"/>
    <xf numFmtId="0" fontId="19" fillId="15" borderId="117" xfId="0" applyFont="1" applyFill="1" applyBorder="1" applyProtection="1"/>
    <xf numFmtId="0" fontId="19" fillId="15" borderId="118" xfId="0" applyFont="1" applyFill="1" applyBorder="1" applyProtection="1"/>
    <xf numFmtId="0" fontId="19" fillId="15" borderId="117" xfId="0" applyFont="1" applyFill="1" applyBorder="1" applyAlignment="1" applyProtection="1"/>
    <xf numFmtId="0" fontId="19" fillId="15" borderId="118" xfId="0" applyFont="1" applyFill="1" applyBorder="1" applyAlignment="1" applyProtection="1"/>
    <xf numFmtId="0" fontId="19" fillId="15" borderId="118" xfId="0" applyFont="1" applyFill="1" applyBorder="1" applyAlignment="1" applyProtection="1">
      <alignment wrapText="1"/>
    </xf>
    <xf numFmtId="0" fontId="19" fillId="15" borderId="117" xfId="0" applyFont="1" applyFill="1" applyBorder="1" applyAlignment="1" applyProtection="1">
      <alignment wrapText="1"/>
    </xf>
    <xf numFmtId="0" fontId="28" fillId="15" borderId="117" xfId="0" applyFont="1" applyFill="1" applyBorder="1" applyAlignment="1" applyProtection="1">
      <alignment horizontal="center" vertical="center"/>
    </xf>
    <xf numFmtId="0" fontId="19" fillId="15" borderId="117" xfId="0" applyFont="1" applyFill="1" applyBorder="1" applyAlignment="1" applyProtection="1">
      <alignment horizontal="left" vertical="center"/>
    </xf>
    <xf numFmtId="0" fontId="19" fillId="15" borderId="119" xfId="0" applyFont="1" applyFill="1" applyBorder="1" applyProtection="1"/>
    <xf numFmtId="0" fontId="19" fillId="15" borderId="120" xfId="0" applyFont="1" applyFill="1" applyBorder="1" applyProtection="1"/>
    <xf numFmtId="0" fontId="19" fillId="15" borderId="121" xfId="0" applyFont="1" applyFill="1" applyBorder="1" applyProtection="1"/>
    <xf numFmtId="0" fontId="82" fillId="15" borderId="117" xfId="0" applyFont="1" applyFill="1" applyBorder="1" applyProtection="1"/>
    <xf numFmtId="0" fontId="82" fillId="15" borderId="118" xfId="0" applyFont="1" applyFill="1" applyBorder="1" applyProtection="1"/>
    <xf numFmtId="0" fontId="82" fillId="15" borderId="119" xfId="0" applyFont="1" applyFill="1" applyBorder="1" applyProtection="1"/>
    <xf numFmtId="0" fontId="82" fillId="15" borderId="120" xfId="0" applyFont="1" applyFill="1" applyBorder="1" applyAlignment="1" applyProtection="1">
      <alignment horizontal="left"/>
    </xf>
    <xf numFmtId="0" fontId="83" fillId="15" borderId="120" xfId="0" applyFont="1" applyFill="1" applyBorder="1" applyAlignment="1" applyProtection="1">
      <alignment horizontal="right" vertical="center"/>
    </xf>
    <xf numFmtId="1" fontId="83" fillId="15" borderId="120" xfId="0" applyNumberFormat="1" applyFont="1" applyFill="1" applyBorder="1" applyAlignment="1" applyProtection="1">
      <alignment horizontal="right" vertical="center"/>
    </xf>
    <xf numFmtId="0" fontId="82" fillId="15" borderId="120" xfId="0" applyFont="1" applyFill="1" applyBorder="1" applyProtection="1"/>
    <xf numFmtId="0" fontId="82" fillId="15" borderId="120" xfId="0" quotePrefix="1" applyFont="1" applyFill="1" applyBorder="1" applyProtection="1"/>
    <xf numFmtId="0" fontId="82" fillId="15" borderId="121" xfId="0" applyFont="1" applyFill="1" applyBorder="1" applyProtection="1"/>
    <xf numFmtId="0" fontId="83" fillId="15" borderId="122" xfId="0" applyFont="1" applyFill="1" applyBorder="1" applyProtection="1"/>
    <xf numFmtId="1" fontId="83" fillId="15" borderId="123" xfId="0" applyNumberFormat="1" applyFont="1" applyFill="1" applyBorder="1" applyProtection="1"/>
    <xf numFmtId="0" fontId="83" fillId="15" borderId="123" xfId="0" applyFont="1" applyFill="1" applyBorder="1" applyProtection="1"/>
    <xf numFmtId="0" fontId="82" fillId="15" borderId="123" xfId="0" applyFont="1" applyFill="1" applyBorder="1" applyProtection="1"/>
    <xf numFmtId="0" fontId="82" fillId="15" borderId="124" xfId="0" applyFont="1" applyFill="1" applyBorder="1" applyProtection="1"/>
    <xf numFmtId="0" fontId="0" fillId="23" borderId="0" xfId="0" applyFill="1"/>
    <xf numFmtId="0" fontId="73" fillId="23" borderId="0" xfId="0" applyFont="1" applyFill="1" applyProtection="1"/>
    <xf numFmtId="0" fontId="79" fillId="23" borderId="0" xfId="0" applyFont="1" applyFill="1" applyBorder="1" applyAlignment="1">
      <alignment horizontal="center" vertical="center"/>
    </xf>
    <xf numFmtId="1" fontId="5" fillId="0" borderId="0" xfId="0" applyNumberFormat="1" applyFont="1" applyProtection="1"/>
    <xf numFmtId="1" fontId="0" fillId="0" borderId="0" xfId="0" applyNumberFormat="1" applyProtection="1">
      <protection hidden="1"/>
    </xf>
    <xf numFmtId="1" fontId="19" fillId="0" borderId="0" xfId="0" applyNumberFormat="1" applyFont="1" applyProtection="1"/>
    <xf numFmtId="1" fontId="19" fillId="16" borderId="0" xfId="0" applyNumberFormat="1" applyFont="1" applyFill="1" applyProtection="1"/>
    <xf numFmtId="1" fontId="19" fillId="16" borderId="21" xfId="0" applyNumberFormat="1" applyFont="1" applyFill="1" applyBorder="1" applyProtection="1"/>
    <xf numFmtId="1" fontId="19" fillId="0" borderId="21" xfId="0" applyNumberFormat="1" applyFont="1" applyBorder="1" applyProtection="1"/>
    <xf numFmtId="1" fontId="19" fillId="0" borderId="24" xfId="0" applyNumberFormat="1" applyFont="1" applyBorder="1" applyProtection="1"/>
    <xf numFmtId="170" fontId="0" fillId="0" borderId="0" xfId="0" applyNumberFormat="1" applyFill="1"/>
    <xf numFmtId="5" fontId="80" fillId="0" borderId="0" xfId="3" applyNumberFormat="1" applyFont="1" applyFill="1"/>
    <xf numFmtId="5" fontId="0" fillId="0" borderId="0" xfId="0" applyNumberFormat="1" applyFill="1"/>
    <xf numFmtId="0" fontId="19" fillId="0" borderId="0" xfId="0" applyFont="1" applyFill="1" applyAlignment="1" applyProtection="1"/>
    <xf numFmtId="1" fontId="22" fillId="4" borderId="114" xfId="0" applyNumberFormat="1" applyFont="1" applyFill="1" applyBorder="1" applyAlignment="1" applyProtection="1">
      <alignment horizontal="center" vertical="center"/>
      <protection locked="0"/>
    </xf>
    <xf numFmtId="1" fontId="22" fillId="4" borderId="115" xfId="0" applyNumberFormat="1" applyFont="1" applyFill="1" applyBorder="1" applyAlignment="1" applyProtection="1">
      <alignment horizontal="center" vertical="center"/>
      <protection locked="0"/>
    </xf>
    <xf numFmtId="1" fontId="122" fillId="23" borderId="125" xfId="0" applyNumberFormat="1" applyFont="1" applyFill="1" applyBorder="1" applyAlignment="1" applyProtection="1">
      <alignment horizontal="center" vertical="center"/>
      <protection locked="0"/>
    </xf>
    <xf numFmtId="0" fontId="22" fillId="13" borderId="51" xfId="6" applyFont="1" applyFill="1" applyBorder="1" applyAlignment="1" applyProtection="1">
      <alignment horizontal="center" vertical="center" wrapText="1"/>
    </xf>
    <xf numFmtId="0" fontId="19" fillId="21" borderId="0" xfId="0" applyFont="1" applyFill="1" applyBorder="1" applyAlignment="1" applyProtection="1">
      <alignment wrapText="1"/>
    </xf>
    <xf numFmtId="0" fontId="19" fillId="15" borderId="126" xfId="0" applyFont="1" applyFill="1" applyBorder="1" applyProtection="1"/>
    <xf numFmtId="0" fontId="19" fillId="15" borderId="127" xfId="0" applyFont="1" applyFill="1" applyBorder="1" applyProtection="1"/>
    <xf numFmtId="0" fontId="19" fillId="15" borderId="128" xfId="0" applyFont="1" applyFill="1" applyBorder="1" applyProtection="1"/>
    <xf numFmtId="0" fontId="19" fillId="15" borderId="129" xfId="0" applyFont="1" applyFill="1" applyBorder="1" applyProtection="1"/>
    <xf numFmtId="0" fontId="95" fillId="15" borderId="126" xfId="4" quotePrefix="1" applyFont="1" applyFill="1" applyBorder="1" applyAlignment="1" applyProtection="1">
      <alignment horizontal="center" vertical="center" wrapText="1" shrinkToFit="1"/>
    </xf>
    <xf numFmtId="0" fontId="117" fillId="15" borderId="130" xfId="0" applyFont="1" applyFill="1" applyBorder="1" applyAlignment="1" applyProtection="1">
      <alignment horizontal="center" vertical="center" wrapText="1" shrinkToFit="1"/>
    </xf>
    <xf numFmtId="0" fontId="2" fillId="15" borderId="126" xfId="4" applyFont="1" applyFill="1" applyBorder="1" applyAlignment="1" applyProtection="1">
      <alignment horizontal="center" vertical="center" wrapText="1" shrinkToFit="1"/>
    </xf>
    <xf numFmtId="0" fontId="19" fillId="15" borderId="130" xfId="0" applyFont="1" applyFill="1" applyBorder="1" applyAlignment="1" applyProtection="1">
      <alignment horizontal="center" vertical="center" wrapText="1" shrinkToFit="1"/>
    </xf>
    <xf numFmtId="0" fontId="117" fillId="15" borderId="126" xfId="4" applyFont="1" applyFill="1" applyBorder="1" applyAlignment="1" applyProtection="1">
      <alignment horizontal="center" vertical="center" wrapText="1" shrinkToFit="1"/>
    </xf>
    <xf numFmtId="168" fontId="28" fillId="15" borderId="130" xfId="0" applyNumberFormat="1" applyFont="1" applyFill="1" applyBorder="1" applyAlignment="1" applyProtection="1">
      <alignment horizontal="center" vertical="center" wrapText="1" shrinkToFit="1"/>
    </xf>
    <xf numFmtId="0" fontId="19" fillId="15" borderId="131" xfId="0" applyFont="1" applyFill="1" applyBorder="1" applyAlignment="1" applyProtection="1">
      <alignment horizontal="center" vertical="center" wrapText="1" shrinkToFit="1"/>
    </xf>
    <xf numFmtId="168" fontId="94" fillId="15" borderId="126" xfId="1" quotePrefix="1" applyNumberFormat="1" applyFont="1" applyFill="1" applyBorder="1" applyAlignment="1" applyProtection="1">
      <alignment horizontal="center"/>
    </xf>
    <xf numFmtId="168" fontId="35" fillId="15" borderId="130" xfId="0" applyNumberFormat="1" applyFont="1" applyFill="1" applyBorder="1" applyAlignment="1" applyProtection="1">
      <alignment horizontal="center" vertical="center" wrapText="1" shrinkToFit="1"/>
    </xf>
    <xf numFmtId="0" fontId="62" fillId="15" borderId="126" xfId="4" applyFont="1" applyFill="1" applyBorder="1" applyAlignment="1" applyProtection="1">
      <alignment horizontal="center" vertical="center" wrapText="1" shrinkToFit="1"/>
    </xf>
    <xf numFmtId="0" fontId="117" fillId="15" borderId="132" xfId="4" applyFont="1" applyFill="1" applyBorder="1" applyAlignment="1" applyProtection="1">
      <alignment horizontal="center" vertical="center" wrapText="1" shrinkToFit="1"/>
    </xf>
    <xf numFmtId="0" fontId="2" fillId="15" borderId="133" xfId="4" applyFont="1" applyFill="1" applyBorder="1" applyAlignment="1" applyProtection="1">
      <alignment horizontal="center" vertical="center" wrapText="1" shrinkToFit="1"/>
    </xf>
    <xf numFmtId="0" fontId="2" fillId="15" borderId="134" xfId="4" applyFont="1" applyFill="1" applyBorder="1" applyAlignment="1" applyProtection="1">
      <alignment horizontal="center" vertical="center" wrapText="1" shrinkToFit="1"/>
    </xf>
    <xf numFmtId="0" fontId="62" fillId="15" borderId="135" xfId="0" applyFont="1" applyFill="1" applyBorder="1" applyProtection="1"/>
    <xf numFmtId="0" fontId="62" fillId="15" borderId="134" xfId="0" applyFont="1" applyFill="1" applyBorder="1" applyProtection="1"/>
    <xf numFmtId="0" fontId="97" fillId="15" borderId="134" xfId="0" applyFont="1" applyFill="1" applyBorder="1" applyAlignment="1" applyProtection="1">
      <alignment wrapText="1"/>
    </xf>
    <xf numFmtId="0" fontId="19" fillId="15" borderId="136" xfId="0" applyFont="1" applyFill="1" applyBorder="1" applyAlignment="1" applyProtection="1">
      <alignment horizontal="center" vertical="center" wrapText="1" shrinkToFit="1"/>
    </xf>
    <xf numFmtId="0" fontId="99" fillId="15" borderId="128" xfId="0" applyFont="1" applyFill="1" applyBorder="1" applyAlignment="1" applyProtection="1">
      <alignment horizontal="center" vertical="top" wrapText="1"/>
    </xf>
    <xf numFmtId="0" fontId="99" fillId="15" borderId="0" xfId="0" applyFont="1" applyFill="1" applyBorder="1" applyAlignment="1" applyProtection="1">
      <alignment horizontal="center" vertical="top" wrapText="1"/>
    </xf>
    <xf numFmtId="0" fontId="110" fillId="15" borderId="0" xfId="0" applyFont="1" applyFill="1" applyBorder="1" applyAlignment="1" applyProtection="1">
      <alignment horizontal="center"/>
    </xf>
    <xf numFmtId="0" fontId="110" fillId="15" borderId="127" xfId="0" applyFont="1" applyFill="1" applyBorder="1" applyAlignment="1" applyProtection="1">
      <alignment horizontal="center" wrapText="1"/>
    </xf>
    <xf numFmtId="0" fontId="99" fillId="15" borderId="137" xfId="0" applyFont="1" applyFill="1" applyBorder="1" applyAlignment="1" applyProtection="1">
      <alignment horizontal="center" vertical="top" wrapText="1"/>
    </xf>
    <xf numFmtId="0" fontId="99" fillId="15" borderId="135" xfId="0" applyFont="1" applyFill="1" applyBorder="1" applyAlignment="1" applyProtection="1">
      <alignment horizontal="center" vertical="top" wrapText="1"/>
    </xf>
    <xf numFmtId="0" fontId="110" fillId="15" borderId="135" xfId="0" applyFont="1" applyFill="1" applyBorder="1" applyAlignment="1" applyProtection="1">
      <alignment horizontal="center"/>
    </xf>
    <xf numFmtId="0" fontId="110" fillId="15" borderId="138" xfId="0" applyFont="1" applyFill="1" applyBorder="1" applyAlignment="1" applyProtection="1">
      <alignment horizontal="center" wrapText="1"/>
    </xf>
    <xf numFmtId="0" fontId="88" fillId="15" borderId="139" xfId="0" applyFont="1" applyFill="1" applyBorder="1" applyAlignment="1" applyProtection="1">
      <alignment horizontal="left" vertical="center" wrapText="1"/>
    </xf>
    <xf numFmtId="0" fontId="28" fillId="26" borderId="139" xfId="0" applyFont="1" applyFill="1" applyBorder="1" applyAlignment="1" applyProtection="1">
      <alignment horizontal="left" vertical="center" wrapText="1"/>
    </xf>
    <xf numFmtId="0" fontId="28" fillId="15" borderId="139" xfId="0" applyFont="1" applyFill="1" applyBorder="1" applyAlignment="1" applyProtection="1">
      <alignment vertical="center"/>
      <protection hidden="1"/>
    </xf>
    <xf numFmtId="0" fontId="82" fillId="15" borderId="0" xfId="0" applyFont="1" applyFill="1" applyBorder="1" applyAlignment="1" applyProtection="1">
      <alignment vertical="center"/>
    </xf>
    <xf numFmtId="0" fontId="0" fillId="15" borderId="0" xfId="0" applyFill="1" applyAlignment="1">
      <alignment vertical="center"/>
    </xf>
    <xf numFmtId="0" fontId="28" fillId="15" borderId="0" xfId="0" applyFont="1" applyFill="1" applyAlignment="1">
      <alignment vertical="center"/>
    </xf>
    <xf numFmtId="0" fontId="19" fillId="23" borderId="140" xfId="0" applyFont="1" applyFill="1" applyBorder="1" applyAlignment="1" applyProtection="1">
      <alignment vertical="center"/>
      <protection locked="0"/>
    </xf>
    <xf numFmtId="0" fontId="19" fillId="23" borderId="114" xfId="0" applyFont="1" applyFill="1" applyBorder="1" applyAlignment="1" applyProtection="1">
      <alignment vertical="center"/>
      <protection locked="0"/>
    </xf>
    <xf numFmtId="175" fontId="19" fillId="23" borderId="114" xfId="0" applyNumberFormat="1" applyFont="1" applyFill="1" applyBorder="1" applyAlignment="1" applyProtection="1">
      <alignment horizontal="left" vertical="center"/>
      <protection locked="0"/>
    </xf>
    <xf numFmtId="0" fontId="28" fillId="15" borderId="114" xfId="0" applyFont="1" applyFill="1" applyBorder="1" applyAlignment="1" applyProtection="1">
      <alignment horizontal="center" vertical="center"/>
      <protection hidden="1"/>
    </xf>
    <xf numFmtId="0" fontId="83" fillId="15" borderId="0" xfId="0" applyFont="1" applyFill="1" applyBorder="1" applyAlignment="1" applyProtection="1">
      <alignment horizontal="center"/>
      <protection hidden="1"/>
    </xf>
    <xf numFmtId="0" fontId="83" fillId="15" borderId="141" xfId="0" applyFont="1" applyFill="1" applyBorder="1" applyAlignment="1" applyProtection="1">
      <alignment horizontal="center" vertical="center"/>
      <protection hidden="1"/>
    </xf>
    <xf numFmtId="0" fontId="0" fillId="16" borderId="1" xfId="0" applyFill="1" applyBorder="1"/>
    <xf numFmtId="0" fontId="114" fillId="0" borderId="0" xfId="0" applyFont="1" applyFill="1" applyBorder="1" applyAlignment="1" applyProtection="1">
      <alignment horizontal="center" vertical="center"/>
      <protection locked="0"/>
    </xf>
    <xf numFmtId="166" fontId="82" fillId="17" borderId="0" xfId="0" applyNumberFormat="1" applyFont="1" applyFill="1" applyProtection="1"/>
    <xf numFmtId="0" fontId="19" fillId="15" borderId="0" xfId="0" applyFont="1" applyFill="1" applyBorder="1" applyAlignment="1" applyProtection="1">
      <alignment horizontal="left"/>
    </xf>
    <xf numFmtId="0" fontId="0" fillId="16" borderId="0" xfId="0" applyFill="1" applyProtection="1">
      <protection hidden="1"/>
    </xf>
    <xf numFmtId="0" fontId="102" fillId="23" borderId="44" xfId="0" quotePrefix="1" applyFont="1" applyFill="1" applyBorder="1" applyAlignment="1">
      <alignment horizontal="left" vertical="top" wrapText="1"/>
    </xf>
    <xf numFmtId="0" fontId="102" fillId="23" borderId="46" xfId="0" quotePrefix="1" applyFont="1" applyFill="1" applyBorder="1" applyAlignment="1">
      <alignment horizontal="left" vertical="top" wrapText="1"/>
    </xf>
    <xf numFmtId="0" fontId="19" fillId="0" borderId="0" xfId="0" quotePrefix="1" applyFont="1" applyFill="1" applyAlignment="1">
      <alignment horizontal="left"/>
    </xf>
    <xf numFmtId="0" fontId="19" fillId="0" borderId="24" xfId="0" applyFont="1" applyBorder="1" applyAlignment="1">
      <alignment horizontal="center" vertical="center" wrapText="1"/>
    </xf>
    <xf numFmtId="0" fontId="0" fillId="0" borderId="24" xfId="0" applyBorder="1" applyAlignment="1">
      <alignment horizontal="center" vertical="center"/>
    </xf>
    <xf numFmtId="0" fontId="88" fillId="23" borderId="22" xfId="0" quotePrefix="1" applyFont="1" applyFill="1" applyBorder="1" applyAlignment="1">
      <alignment horizontal="center" vertical="center" wrapText="1"/>
    </xf>
    <xf numFmtId="0" fontId="106" fillId="23" borderId="40" xfId="0" applyFont="1" applyFill="1" applyBorder="1" applyAlignment="1">
      <alignment vertical="center"/>
    </xf>
    <xf numFmtId="0" fontId="88" fillId="23" borderId="62" xfId="0" applyFont="1" applyFill="1" applyBorder="1" applyAlignment="1">
      <alignment horizontal="center" vertical="center"/>
    </xf>
    <xf numFmtId="0" fontId="0" fillId="0" borderId="41"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19" fillId="21" borderId="0" xfId="0" applyFont="1" applyFill="1" applyBorder="1" applyAlignment="1" applyProtection="1">
      <alignment horizontal="centerContinuous" wrapText="1"/>
    </xf>
    <xf numFmtId="0" fontId="19" fillId="21" borderId="118" xfId="0" applyFont="1" applyFill="1" applyBorder="1" applyAlignment="1" applyProtection="1">
      <alignment horizontal="left"/>
    </xf>
    <xf numFmtId="0" fontId="79" fillId="23" borderId="65" xfId="0" applyFont="1" applyFill="1" applyBorder="1" applyAlignment="1" applyProtection="1">
      <alignment horizontal="left" vertical="top" wrapText="1"/>
      <protection locked="0"/>
    </xf>
    <xf numFmtId="0" fontId="28" fillId="15" borderId="66" xfId="0" applyFont="1" applyFill="1" applyBorder="1" applyAlignment="1">
      <alignment horizontal="center" vertical="center"/>
    </xf>
    <xf numFmtId="0" fontId="19" fillId="23" borderId="67" xfId="0" applyFont="1" applyFill="1" applyBorder="1" applyAlignment="1" applyProtection="1">
      <alignment horizontal="left" vertical="center" wrapText="1"/>
      <protection locked="0"/>
    </xf>
    <xf numFmtId="0" fontId="0" fillId="23" borderId="67" xfId="0" applyFill="1" applyBorder="1" applyAlignment="1" applyProtection="1">
      <alignment horizontal="left" vertical="center" wrapText="1"/>
      <protection locked="0"/>
    </xf>
    <xf numFmtId="0" fontId="0" fillId="23" borderId="68" xfId="0" applyFill="1" applyBorder="1" applyAlignment="1" applyProtection="1">
      <alignment horizontal="left" vertical="center" wrapText="1"/>
      <protection locked="0"/>
    </xf>
    <xf numFmtId="0" fontId="19" fillId="15" borderId="0" xfId="0" applyFont="1" applyFill="1" applyBorder="1" applyAlignment="1" applyProtection="1">
      <alignment vertical="center" wrapText="1"/>
    </xf>
    <xf numFmtId="0" fontId="19" fillId="15" borderId="0" xfId="0" applyFont="1" applyFill="1" applyBorder="1" applyAlignment="1" applyProtection="1">
      <alignment horizontal="center" wrapText="1"/>
    </xf>
    <xf numFmtId="0" fontId="19" fillId="23" borderId="140" xfId="0" applyFont="1" applyFill="1" applyBorder="1" applyAlignment="1" applyProtection="1">
      <alignment horizontal="left" vertical="center"/>
      <protection locked="0"/>
    </xf>
    <xf numFmtId="0" fontId="19" fillId="23" borderId="142" xfId="0" applyFont="1" applyFill="1" applyBorder="1" applyAlignment="1" applyProtection="1">
      <alignment horizontal="left" vertical="center"/>
      <protection locked="0"/>
    </xf>
    <xf numFmtId="0" fontId="19" fillId="23" borderId="143" xfId="0" applyFont="1" applyFill="1" applyBorder="1" applyAlignment="1" applyProtection="1">
      <alignment horizontal="left" vertical="center"/>
      <protection locked="0"/>
    </xf>
    <xf numFmtId="0" fontId="19" fillId="23" borderId="140" xfId="0" applyFont="1" applyFill="1" applyBorder="1" applyAlignment="1" applyProtection="1">
      <alignment horizontal="left" vertical="center" shrinkToFit="1"/>
      <protection locked="0"/>
    </xf>
    <xf numFmtId="0" fontId="19" fillId="23" borderId="142" xfId="0" applyFont="1" applyFill="1" applyBorder="1" applyAlignment="1" applyProtection="1">
      <alignment horizontal="left" vertical="center" shrinkToFit="1"/>
      <protection locked="0"/>
    </xf>
    <xf numFmtId="0" fontId="19" fillId="23" borderId="143" xfId="0" applyFont="1" applyFill="1" applyBorder="1" applyAlignment="1" applyProtection="1">
      <alignment horizontal="left" vertical="center" shrinkToFit="1"/>
      <protection locked="0"/>
    </xf>
    <xf numFmtId="0" fontId="68" fillId="15" borderId="0" xfId="0" applyFont="1" applyFill="1" applyBorder="1" applyAlignment="1" applyProtection="1">
      <alignment horizontal="center" vertical="center"/>
    </xf>
    <xf numFmtId="0" fontId="19" fillId="23" borderId="140" xfId="0" applyFont="1" applyFill="1" applyBorder="1" applyAlignment="1" applyProtection="1">
      <alignment horizontal="left" vertical="center" wrapText="1"/>
      <protection locked="0"/>
    </xf>
    <xf numFmtId="0" fontId="19" fillId="23" borderId="142" xfId="0" applyFont="1" applyFill="1" applyBorder="1" applyAlignment="1" applyProtection="1">
      <alignment horizontal="left" vertical="center" wrapText="1"/>
      <protection locked="0"/>
    </xf>
    <xf numFmtId="0" fontId="19" fillId="23" borderId="143" xfId="0" applyFont="1" applyFill="1" applyBorder="1" applyAlignment="1" applyProtection="1">
      <alignment horizontal="left" vertical="center" wrapText="1"/>
      <protection locked="0"/>
    </xf>
    <xf numFmtId="0" fontId="92" fillId="27" borderId="144" xfId="0" quotePrefix="1" applyFont="1" applyFill="1" applyBorder="1" applyAlignment="1" applyProtection="1">
      <alignment horizontal="center" vertical="top" wrapText="1"/>
    </xf>
    <xf numFmtId="0" fontId="92" fillId="27" borderId="145" xfId="0" applyFont="1" applyFill="1" applyBorder="1" applyAlignment="1" applyProtection="1">
      <alignment horizontal="center" vertical="top" wrapText="1"/>
    </xf>
    <xf numFmtId="0" fontId="92" fillId="27" borderId="146" xfId="0" applyFont="1" applyFill="1" applyBorder="1" applyAlignment="1" applyProtection="1">
      <alignment horizontal="center" vertical="top" wrapText="1"/>
    </xf>
    <xf numFmtId="0" fontId="28" fillId="15" borderId="0" xfId="0" applyFont="1" applyFill="1" applyBorder="1" applyAlignment="1" applyProtection="1">
      <alignment vertical="center" wrapText="1"/>
    </xf>
    <xf numFmtId="0" fontId="19" fillId="15" borderId="0" xfId="0" applyFont="1" applyFill="1" applyBorder="1" applyAlignment="1" applyProtection="1">
      <alignment horizontal="center" vertical="center" wrapText="1"/>
    </xf>
    <xf numFmtId="49" fontId="19" fillId="23" borderId="140" xfId="0" applyNumberFormat="1" applyFont="1" applyFill="1" applyBorder="1" applyAlignment="1" applyProtection="1">
      <alignment horizontal="left" vertical="center"/>
      <protection locked="0"/>
    </xf>
    <xf numFmtId="49" fontId="19" fillId="23" borderId="143" xfId="0" applyNumberFormat="1" applyFont="1" applyFill="1" applyBorder="1" applyAlignment="1" applyProtection="1">
      <alignment horizontal="left" vertical="center"/>
      <protection locked="0"/>
    </xf>
    <xf numFmtId="0" fontId="19" fillId="21" borderId="0" xfId="0" applyFont="1" applyFill="1" applyBorder="1" applyAlignment="1" applyProtection="1">
      <alignment horizontal="right" wrapText="1"/>
    </xf>
    <xf numFmtId="0" fontId="73" fillId="15" borderId="0" xfId="0" applyFont="1" applyFill="1" applyBorder="1" applyAlignment="1">
      <alignment vertical="center" wrapText="1"/>
    </xf>
    <xf numFmtId="0" fontId="19" fillId="21" borderId="0" xfId="0" applyFont="1" applyFill="1" applyBorder="1" applyAlignment="1" applyProtection="1">
      <alignment horizontal="center" vertical="center"/>
    </xf>
    <xf numFmtId="0" fontId="41" fillId="21" borderId="0" xfId="0" applyFont="1" applyFill="1" applyBorder="1" applyAlignment="1" applyProtection="1">
      <alignment horizontal="center"/>
    </xf>
    <xf numFmtId="166" fontId="19" fillId="4" borderId="140" xfId="0" applyNumberFormat="1" applyFont="1" applyFill="1" applyBorder="1" applyAlignment="1" applyProtection="1">
      <alignment wrapText="1"/>
      <protection locked="0"/>
    </xf>
    <xf numFmtId="166" fontId="19" fillId="4" borderId="142" xfId="0" applyNumberFormat="1" applyFont="1" applyFill="1" applyBorder="1" applyAlignment="1" applyProtection="1">
      <alignment wrapText="1"/>
      <protection locked="0"/>
    </xf>
    <xf numFmtId="0" fontId="19" fillId="0" borderId="142" xfId="0" applyFont="1" applyBorder="1" applyAlignment="1" applyProtection="1">
      <alignment wrapText="1"/>
      <protection locked="0"/>
    </xf>
    <xf numFmtId="0" fontId="19" fillId="0" borderId="143" xfId="0" applyFont="1" applyBorder="1" applyAlignment="1" applyProtection="1">
      <alignment wrapText="1"/>
      <protection locked="0"/>
    </xf>
    <xf numFmtId="168" fontId="19" fillId="4" borderId="140" xfId="0" applyNumberFormat="1" applyFont="1" applyFill="1" applyBorder="1" applyAlignment="1" applyProtection="1">
      <alignment horizontal="left"/>
      <protection locked="0"/>
    </xf>
    <xf numFmtId="168" fontId="19" fillId="0" borderId="143" xfId="0" applyNumberFormat="1" applyFont="1" applyBorder="1" applyProtection="1">
      <protection locked="0"/>
    </xf>
    <xf numFmtId="0" fontId="19" fillId="21" borderId="0" xfId="0" quotePrefix="1" applyFont="1" applyFill="1" applyBorder="1" applyAlignment="1" applyProtection="1">
      <alignment horizontal="center" vertical="center"/>
    </xf>
    <xf numFmtId="0" fontId="117" fillId="21" borderId="0" xfId="0" quotePrefix="1" applyFont="1" applyFill="1" applyBorder="1" applyAlignment="1" applyProtection="1">
      <alignment horizontal="center" vertical="center"/>
    </xf>
    <xf numFmtId="0" fontId="117" fillId="21" borderId="0" xfId="0" applyFont="1" applyFill="1" applyBorder="1" applyAlignment="1" applyProtection="1">
      <alignment horizontal="center" vertical="center"/>
    </xf>
    <xf numFmtId="2" fontId="41" fillId="21" borderId="0" xfId="0" applyNumberFormat="1" applyFont="1" applyFill="1" applyBorder="1" applyAlignment="1" applyProtection="1">
      <alignment horizontal="center" vertical="center"/>
      <protection hidden="1"/>
    </xf>
    <xf numFmtId="168" fontId="19" fillId="4" borderId="143" xfId="0" applyNumberFormat="1" applyFont="1" applyFill="1" applyBorder="1" applyAlignment="1" applyProtection="1">
      <alignment horizontal="left"/>
      <protection locked="0"/>
    </xf>
    <xf numFmtId="0" fontId="41" fillId="21" borderId="0" xfId="0" applyFont="1" applyFill="1" applyBorder="1" applyAlignment="1" applyProtection="1">
      <alignment horizontal="center" vertical="center"/>
      <protection hidden="1"/>
    </xf>
    <xf numFmtId="1" fontId="89" fillId="15" borderId="69" xfId="0" applyNumberFormat="1" applyFont="1" applyFill="1" applyBorder="1" applyAlignment="1" applyProtection="1">
      <alignment horizontal="center" vertical="center"/>
    </xf>
    <xf numFmtId="1" fontId="89" fillId="15" borderId="70" xfId="0" applyNumberFormat="1" applyFont="1" applyFill="1" applyBorder="1" applyAlignment="1" applyProtection="1">
      <alignment horizontal="center" vertical="center"/>
    </xf>
    <xf numFmtId="1" fontId="89" fillId="15" borderId="71" xfId="0" applyNumberFormat="1" applyFont="1" applyFill="1" applyBorder="1" applyAlignment="1" applyProtection="1">
      <alignment horizontal="center" vertical="center"/>
    </xf>
    <xf numFmtId="0" fontId="73" fillId="15" borderId="0" xfId="0" applyFont="1" applyFill="1" applyBorder="1" applyAlignment="1" applyProtection="1">
      <alignment horizontal="center" vertical="center"/>
    </xf>
    <xf numFmtId="0" fontId="77" fillId="15" borderId="0" xfId="0" applyFont="1" applyFill="1" applyBorder="1" applyAlignment="1" applyProtection="1">
      <alignment horizontal="left" vertical="top" wrapText="1"/>
    </xf>
    <xf numFmtId="0" fontId="73" fillId="15" borderId="0" xfId="0" applyFont="1" applyFill="1" applyBorder="1" applyAlignment="1" applyProtection="1">
      <alignment horizontal="left" vertical="top" wrapText="1"/>
    </xf>
    <xf numFmtId="168" fontId="19" fillId="4" borderId="147" xfId="0" applyNumberFormat="1" applyFont="1" applyFill="1" applyBorder="1" applyAlignment="1" applyProtection="1">
      <alignment horizontal="left"/>
      <protection locked="0"/>
    </xf>
    <xf numFmtId="168" fontId="19" fillId="4" borderId="148" xfId="0" applyNumberFormat="1" applyFont="1" applyFill="1" applyBorder="1" applyAlignment="1" applyProtection="1">
      <alignment horizontal="left"/>
      <protection locked="0"/>
    </xf>
    <xf numFmtId="0" fontId="35" fillId="21" borderId="0" xfId="0" applyFont="1" applyFill="1" applyBorder="1" applyAlignment="1" applyProtection="1">
      <alignment horizontal="center"/>
      <protection hidden="1"/>
    </xf>
    <xf numFmtId="0" fontId="19" fillId="21" borderId="0" xfId="0" applyFont="1" applyFill="1" applyBorder="1" applyAlignment="1" applyProtection="1">
      <alignment horizontal="center"/>
    </xf>
    <xf numFmtId="0" fontId="24" fillId="27" borderId="144" xfId="0" applyFont="1" applyFill="1" applyBorder="1" applyAlignment="1" applyProtection="1">
      <alignment horizontal="center" vertical="center" wrapText="1"/>
    </xf>
    <xf numFmtId="0" fontId="24" fillId="27" borderId="145" xfId="0" applyFont="1" applyFill="1" applyBorder="1" applyAlignment="1" applyProtection="1">
      <alignment horizontal="center" vertical="center" wrapText="1"/>
    </xf>
    <xf numFmtId="0" fontId="24" fillId="27" borderId="146" xfId="0" applyFont="1" applyFill="1" applyBorder="1" applyAlignment="1" applyProtection="1">
      <alignment horizontal="center" vertical="center" wrapText="1"/>
    </xf>
    <xf numFmtId="0" fontId="19" fillId="21" borderId="0" xfId="0" applyFont="1" applyFill="1" applyBorder="1" applyAlignment="1" applyProtection="1"/>
    <xf numFmtId="0" fontId="19" fillId="21" borderId="0" xfId="0" applyFont="1" applyFill="1" applyBorder="1" applyAlignment="1" applyProtection="1">
      <alignment horizontal="center" wrapText="1"/>
    </xf>
    <xf numFmtId="0" fontId="28" fillId="21" borderId="140" xfId="0" applyFont="1" applyFill="1" applyBorder="1" applyAlignment="1" applyProtection="1">
      <alignment horizontal="center"/>
      <protection hidden="1"/>
    </xf>
    <xf numFmtId="0" fontId="28" fillId="21" borderId="143" xfId="0" applyFont="1" applyFill="1" applyBorder="1" applyAlignment="1" applyProtection="1">
      <alignment horizontal="center"/>
      <protection hidden="1"/>
    </xf>
    <xf numFmtId="0" fontId="65" fillId="21" borderId="140" xfId="0" applyFont="1" applyFill="1" applyBorder="1" applyAlignment="1" applyProtection="1">
      <alignment horizontal="center"/>
      <protection hidden="1"/>
    </xf>
    <xf numFmtId="0" fontId="65" fillId="21" borderId="143" xfId="0" applyFont="1" applyFill="1" applyBorder="1" applyAlignment="1" applyProtection="1">
      <alignment horizontal="center"/>
      <protection hidden="1"/>
    </xf>
    <xf numFmtId="0" fontId="28" fillId="21" borderId="140" xfId="0" applyFont="1" applyFill="1" applyBorder="1" applyAlignment="1" applyProtection="1">
      <alignment horizontal="left"/>
    </xf>
    <xf numFmtId="0" fontId="28" fillId="21" borderId="142" xfId="0" applyFont="1" applyFill="1" applyBorder="1" applyAlignment="1" applyProtection="1">
      <alignment horizontal="left"/>
    </xf>
    <xf numFmtId="0" fontId="28" fillId="21" borderId="143" xfId="0" applyFont="1" applyFill="1" applyBorder="1" applyAlignment="1" applyProtection="1">
      <alignment horizontal="left"/>
    </xf>
    <xf numFmtId="4" fontId="86" fillId="15" borderId="0" xfId="0" applyNumberFormat="1" applyFont="1" applyFill="1" applyBorder="1" applyAlignment="1" applyProtection="1">
      <alignment horizontal="center" vertical="center"/>
      <protection hidden="1"/>
    </xf>
    <xf numFmtId="0" fontId="82" fillId="15" borderId="0" xfId="0" applyFont="1" applyFill="1" applyBorder="1" applyAlignment="1" applyProtection="1">
      <alignment vertical="center"/>
      <protection hidden="1"/>
    </xf>
    <xf numFmtId="0" fontId="82" fillId="15" borderId="0" xfId="0" applyFont="1" applyFill="1" applyBorder="1" applyAlignment="1" applyProtection="1">
      <alignment horizontal="right" vertical="center"/>
    </xf>
    <xf numFmtId="0" fontId="83" fillId="15" borderId="122" xfId="0" applyFont="1" applyFill="1" applyBorder="1" applyAlignment="1" applyProtection="1">
      <alignment horizontal="center"/>
      <protection hidden="1"/>
    </xf>
    <xf numFmtId="0" fontId="83" fillId="15" borderId="124" xfId="0" applyFont="1" applyFill="1" applyBorder="1" applyAlignment="1" applyProtection="1">
      <alignment horizontal="center"/>
      <protection hidden="1"/>
    </xf>
    <xf numFmtId="0" fontId="90" fillId="15" borderId="0" xfId="0" applyFont="1" applyFill="1" applyBorder="1" applyAlignment="1" applyProtection="1">
      <alignment horizontal="left" vertical="top"/>
    </xf>
    <xf numFmtId="0" fontId="90" fillId="15" borderId="118" xfId="0" applyFont="1" applyFill="1" applyBorder="1" applyAlignment="1" applyProtection="1">
      <alignment horizontal="left" vertical="top"/>
    </xf>
    <xf numFmtId="0" fontId="123" fillId="15" borderId="0" xfId="0" applyFont="1" applyFill="1" applyBorder="1" applyAlignment="1" applyProtection="1">
      <alignment horizontal="center"/>
    </xf>
    <xf numFmtId="0" fontId="79" fillId="23" borderId="44" xfId="0" applyFont="1" applyFill="1" applyBorder="1" applyAlignment="1">
      <alignment horizontal="center" vertical="center"/>
    </xf>
    <xf numFmtId="0" fontId="79" fillId="23" borderId="45" xfId="0" applyFont="1" applyFill="1" applyBorder="1" applyAlignment="1">
      <alignment horizontal="center" vertical="center"/>
    </xf>
    <xf numFmtId="0" fontId="24" fillId="27" borderId="49" xfId="0" applyFont="1" applyFill="1" applyBorder="1" applyAlignment="1" applyProtection="1">
      <alignment horizontal="center" vertical="center" wrapText="1"/>
    </xf>
    <xf numFmtId="0" fontId="24" fillId="27" borderId="72" xfId="0" applyFont="1" applyFill="1" applyBorder="1" applyAlignment="1" applyProtection="1">
      <alignment horizontal="center" vertical="center" wrapText="1"/>
    </xf>
    <xf numFmtId="0" fontId="99" fillId="27" borderId="149" xfId="0" applyFont="1" applyFill="1" applyBorder="1" applyAlignment="1" applyProtection="1">
      <alignment horizontal="center" vertical="top" wrapText="1"/>
    </xf>
    <xf numFmtId="0" fontId="99" fillId="27" borderId="150" xfId="0" applyFont="1" applyFill="1" applyBorder="1" applyAlignment="1" applyProtection="1">
      <alignment horizontal="center" vertical="top" wrapText="1"/>
    </xf>
    <xf numFmtId="0" fontId="99" fillId="27" borderId="128" xfId="0" applyFont="1" applyFill="1" applyBorder="1" applyAlignment="1" applyProtection="1">
      <alignment horizontal="center" vertical="top" wrapText="1"/>
    </xf>
    <xf numFmtId="0" fontId="99" fillId="27" borderId="0" xfId="0" applyFont="1" applyFill="1" applyBorder="1" applyAlignment="1" applyProtection="1">
      <alignment horizontal="center" vertical="top" wrapText="1"/>
    </xf>
    <xf numFmtId="0" fontId="117" fillId="15" borderId="151" xfId="0" applyFont="1" applyFill="1" applyBorder="1" applyAlignment="1" applyProtection="1">
      <alignment horizontal="center" vertical="center" wrapText="1"/>
    </xf>
    <xf numFmtId="0" fontId="117" fillId="15" borderId="130" xfId="0" applyFont="1" applyFill="1" applyBorder="1" applyAlignment="1">
      <alignment horizontal="center" vertical="center" wrapText="1"/>
    </xf>
    <xf numFmtId="0" fontId="117" fillId="15" borderId="21" xfId="0" applyFont="1" applyFill="1" applyBorder="1" applyAlignment="1" applyProtection="1">
      <alignment horizontal="center" vertical="center" wrapText="1"/>
    </xf>
    <xf numFmtId="0" fontId="117" fillId="15" borderId="21" xfId="0" applyFont="1" applyFill="1" applyBorder="1" applyAlignment="1">
      <alignment horizontal="center" vertical="center" wrapText="1"/>
    </xf>
    <xf numFmtId="0" fontId="117" fillId="15" borderId="23" xfId="0" applyFont="1" applyFill="1" applyBorder="1" applyAlignment="1" applyProtection="1">
      <alignment horizontal="center" vertical="center" wrapText="1"/>
    </xf>
    <xf numFmtId="0" fontId="117" fillId="15" borderId="126" xfId="4" applyFont="1" applyFill="1" applyBorder="1" applyAlignment="1" applyProtection="1">
      <alignment horizontal="center" vertical="center" wrapText="1"/>
    </xf>
    <xf numFmtId="0" fontId="117" fillId="15" borderId="0" xfId="0" applyFont="1" applyFill="1" applyBorder="1" applyAlignment="1" applyProtection="1">
      <alignment horizontal="left" vertical="center"/>
    </xf>
    <xf numFmtId="0" fontId="117" fillId="15" borderId="37" xfId="0" applyFont="1" applyFill="1" applyBorder="1" applyAlignment="1" applyProtection="1">
      <alignment horizontal="left" vertical="center"/>
    </xf>
    <xf numFmtId="0" fontId="28" fillId="15" borderId="152" xfId="0" applyFont="1" applyFill="1" applyBorder="1" applyAlignment="1" applyProtection="1">
      <alignment horizontal="left" vertical="center"/>
    </xf>
    <xf numFmtId="0" fontId="28" fillId="15" borderId="153" xfId="0" applyFont="1" applyFill="1" applyBorder="1" applyAlignment="1" applyProtection="1">
      <alignment horizontal="left" vertical="center"/>
    </xf>
    <xf numFmtId="0" fontId="24" fillId="27" borderId="154" xfId="0" applyFont="1" applyFill="1" applyBorder="1" applyAlignment="1" applyProtection="1">
      <alignment horizontal="center" vertical="center" wrapText="1"/>
    </xf>
    <xf numFmtId="0" fontId="24" fillId="27" borderId="155" xfId="0" applyFont="1" applyFill="1" applyBorder="1" applyAlignment="1" applyProtection="1">
      <alignment horizontal="center" vertical="center" wrapText="1"/>
    </xf>
    <xf numFmtId="0" fontId="24" fillId="27" borderId="156" xfId="0" applyFont="1" applyFill="1" applyBorder="1" applyAlignment="1" applyProtection="1">
      <alignment horizontal="center" vertical="center" wrapText="1"/>
    </xf>
    <xf numFmtId="0" fontId="28" fillId="15" borderId="140" xfId="0" applyFont="1" applyFill="1" applyBorder="1" applyAlignment="1" applyProtection="1">
      <alignment horizontal="center" vertical="center"/>
      <protection hidden="1"/>
    </xf>
    <xf numFmtId="0" fontId="28" fillId="15" borderId="143" xfId="0" applyFont="1" applyFill="1" applyBorder="1" applyAlignment="1" applyProtection="1">
      <alignment horizontal="center" vertical="center"/>
      <protection hidden="1"/>
    </xf>
    <xf numFmtId="0" fontId="28" fillId="15" borderId="147" xfId="0" applyFont="1" applyFill="1" applyBorder="1" applyAlignment="1" applyProtection="1">
      <alignment horizontal="left" vertical="center"/>
    </xf>
    <xf numFmtId="0" fontId="28" fillId="15" borderId="116" xfId="0" applyFont="1" applyFill="1" applyBorder="1" applyAlignment="1" applyProtection="1">
      <alignment horizontal="left" vertical="center"/>
    </xf>
    <xf numFmtId="0" fontId="28" fillId="15" borderId="142" xfId="0" applyFont="1" applyFill="1" applyBorder="1" applyAlignment="1" applyProtection="1">
      <alignment horizontal="left" vertical="center"/>
    </xf>
    <xf numFmtId="0" fontId="28" fillId="15" borderId="143" xfId="0" applyFont="1" applyFill="1" applyBorder="1" applyAlignment="1" applyProtection="1">
      <alignment horizontal="left" vertical="center"/>
    </xf>
    <xf numFmtId="0" fontId="108" fillId="24" borderId="56" xfId="6" applyFont="1" applyFill="1" applyBorder="1" applyAlignment="1" applyProtection="1">
      <alignment horizontal="center" vertical="center" wrapText="1"/>
    </xf>
    <xf numFmtId="0" fontId="108" fillId="24" borderId="73" xfId="6" applyFont="1" applyFill="1" applyBorder="1" applyAlignment="1" applyProtection="1">
      <alignment horizontal="center" vertical="center" wrapText="1"/>
    </xf>
    <xf numFmtId="0" fontId="115" fillId="24" borderId="73" xfId="6" applyFill="1" applyBorder="1" applyAlignment="1" applyProtection="1">
      <alignment horizontal="center" vertical="center"/>
    </xf>
    <xf numFmtId="0" fontId="99" fillId="27" borderId="59" xfId="0" applyFont="1" applyFill="1" applyBorder="1" applyAlignment="1" applyProtection="1">
      <alignment horizontal="center" vertical="top" wrapText="1"/>
    </xf>
    <xf numFmtId="0" fontId="99" fillId="27" borderId="74" xfId="0" applyFont="1" applyFill="1" applyBorder="1" applyAlignment="1" applyProtection="1">
      <alignment horizontal="center" vertical="top" wrapText="1"/>
    </xf>
    <xf numFmtId="0" fontId="99" fillId="27" borderId="6" xfId="0" applyFont="1" applyFill="1" applyBorder="1" applyAlignment="1" applyProtection="1">
      <alignment horizontal="center" vertical="top" wrapText="1"/>
    </xf>
    <xf numFmtId="0" fontId="19" fillId="4" borderId="44" xfId="0" applyFont="1" applyFill="1" applyBorder="1" applyAlignment="1" applyProtection="1">
      <alignment horizontal="center" vertical="center" wrapText="1"/>
    </xf>
    <xf numFmtId="0" fontId="19" fillId="4" borderId="75" xfId="0" applyFont="1" applyFill="1" applyBorder="1" applyAlignment="1" applyProtection="1">
      <alignment horizontal="center" vertical="center" wrapText="1"/>
    </xf>
    <xf numFmtId="0" fontId="28" fillId="15" borderId="76" xfId="0" applyFont="1" applyFill="1" applyBorder="1" applyAlignment="1" applyProtection="1">
      <alignment horizontal="center" vertical="center" wrapText="1"/>
    </xf>
    <xf numFmtId="0" fontId="28" fillId="15" borderId="77" xfId="0" applyFont="1" applyFill="1" applyBorder="1" applyAlignment="1" applyProtection="1">
      <alignment horizontal="center" vertical="center" wrapText="1"/>
    </xf>
    <xf numFmtId="0" fontId="28" fillId="15" borderId="78" xfId="0" applyFont="1" applyFill="1" applyBorder="1" applyAlignment="1" applyProtection="1">
      <alignment horizontal="center" vertical="center" wrapText="1"/>
    </xf>
    <xf numFmtId="0" fontId="22" fillId="24" borderId="73" xfId="6" applyFont="1" applyFill="1" applyBorder="1" applyAlignment="1" applyProtection="1">
      <alignment horizontal="center" vertical="center" wrapText="1"/>
    </xf>
    <xf numFmtId="0" fontId="28" fillId="15" borderId="60" xfId="6" applyFont="1" applyFill="1" applyBorder="1" applyAlignment="1" applyProtection="1">
      <alignment horizontal="center" vertical="center" wrapText="1"/>
    </xf>
    <xf numFmtId="0" fontId="28" fillId="15" borderId="79" xfId="6" applyFont="1" applyFill="1" applyBorder="1" applyAlignment="1" applyProtection="1">
      <alignment horizontal="center" vertical="center" wrapText="1"/>
    </xf>
    <xf numFmtId="0" fontId="28" fillId="15" borderId="80" xfId="6" applyFont="1" applyFill="1" applyBorder="1" applyAlignment="1" applyProtection="1">
      <alignment horizontal="center" vertical="center" wrapText="1"/>
    </xf>
    <xf numFmtId="0" fontId="22" fillId="0" borderId="29" xfId="6" applyFont="1" applyFill="1" applyBorder="1" applyAlignment="1" applyProtection="1">
      <alignment horizontal="center" vertical="center" wrapText="1"/>
    </xf>
    <xf numFmtId="0" fontId="22" fillId="0" borderId="51" xfId="6" applyFont="1" applyFill="1" applyBorder="1" applyAlignment="1" applyProtection="1">
      <alignment horizontal="center" vertical="center" wrapText="1"/>
    </xf>
    <xf numFmtId="0" fontId="22" fillId="13" borderId="81" xfId="6" applyFont="1" applyFill="1" applyBorder="1" applyAlignment="1" applyProtection="1">
      <alignment horizontal="center" vertical="center" wrapText="1"/>
    </xf>
    <xf numFmtId="0" fontId="22" fillId="13" borderId="51" xfId="6" applyFont="1" applyFill="1" applyBorder="1" applyAlignment="1" applyProtection="1">
      <alignment horizontal="center" vertical="center" wrapText="1"/>
    </xf>
    <xf numFmtId="0" fontId="22" fillId="4" borderId="56" xfId="6" applyFont="1" applyFill="1" applyBorder="1" applyAlignment="1" applyProtection="1">
      <alignment horizontal="center" vertical="center" wrapText="1"/>
    </xf>
    <xf numFmtId="0" fontId="19" fillId="4" borderId="25" xfId="6" applyFont="1" applyFill="1" applyBorder="1" applyAlignment="1" applyProtection="1">
      <alignment horizontal="center" vertical="center" wrapText="1"/>
    </xf>
    <xf numFmtId="0" fontId="19" fillId="4" borderId="73" xfId="6" applyFont="1" applyFill="1" applyBorder="1" applyAlignment="1" applyProtection="1">
      <alignment horizontal="center" vertical="center" wrapText="1"/>
    </xf>
    <xf numFmtId="0" fontId="108" fillId="24" borderId="82" xfId="6" applyFont="1" applyFill="1" applyBorder="1" applyAlignment="1" applyProtection="1">
      <alignment horizontal="center" vertical="center" wrapText="1"/>
    </xf>
    <xf numFmtId="0" fontId="108" fillId="24" borderId="83" xfId="6" applyFont="1" applyFill="1" applyBorder="1" applyAlignment="1" applyProtection="1">
      <alignment horizontal="center" vertical="center" wrapText="1"/>
    </xf>
    <xf numFmtId="0" fontId="108" fillId="0" borderId="81" xfId="6" applyFont="1" applyBorder="1" applyAlignment="1" applyProtection="1">
      <alignment horizontal="center" vertical="center" wrapText="1"/>
    </xf>
    <xf numFmtId="0" fontId="108" fillId="0" borderId="51" xfId="6" applyFont="1" applyBorder="1" applyAlignment="1" applyProtection="1">
      <alignment horizontal="center" vertical="center" wrapText="1"/>
    </xf>
    <xf numFmtId="0" fontId="111" fillId="24" borderId="56" xfId="6" applyFont="1" applyFill="1" applyBorder="1" applyAlignment="1" applyProtection="1">
      <alignment horizontal="center" vertical="center" wrapText="1"/>
    </xf>
    <xf numFmtId="0" fontId="111" fillId="24" borderId="73" xfId="6" applyFont="1" applyFill="1" applyBorder="1" applyAlignment="1" applyProtection="1">
      <alignment horizontal="center" vertical="center" wrapText="1"/>
    </xf>
    <xf numFmtId="0" fontId="24" fillId="27" borderId="149" xfId="0" applyFont="1" applyFill="1" applyBorder="1" applyAlignment="1" applyProtection="1">
      <alignment horizontal="center" vertical="center" wrapText="1"/>
    </xf>
    <xf numFmtId="0" fontId="24" fillId="27" borderId="150" xfId="0" applyFont="1" applyFill="1" applyBorder="1" applyAlignment="1" applyProtection="1">
      <alignment horizontal="center" vertical="center" wrapText="1"/>
    </xf>
    <xf numFmtId="0" fontId="24" fillId="27" borderId="157" xfId="0" applyFont="1" applyFill="1" applyBorder="1" applyAlignment="1" applyProtection="1">
      <alignment horizontal="center" vertical="center" wrapText="1"/>
    </xf>
    <xf numFmtId="0" fontId="24" fillId="27" borderId="137" xfId="0" applyFont="1" applyFill="1" applyBorder="1" applyAlignment="1" applyProtection="1">
      <alignment horizontal="center" vertical="center" wrapText="1"/>
    </xf>
    <xf numFmtId="0" fontId="24" fillId="27" borderId="135" xfId="0" applyFont="1" applyFill="1" applyBorder="1" applyAlignment="1" applyProtection="1">
      <alignment horizontal="center" vertical="center" wrapText="1"/>
    </xf>
    <xf numFmtId="0" fontId="24" fillId="27" borderId="158" xfId="0" applyFont="1" applyFill="1" applyBorder="1" applyAlignment="1" applyProtection="1">
      <alignment horizontal="center" vertical="center" wrapText="1"/>
    </xf>
    <xf numFmtId="0" fontId="24" fillId="27" borderId="6" xfId="0" applyFont="1" applyFill="1" applyBorder="1" applyAlignment="1" applyProtection="1">
      <alignment horizontal="center" vertical="center" wrapText="1"/>
    </xf>
    <xf numFmtId="0" fontId="24" fillId="27" borderId="0" xfId="0" applyFont="1" applyFill="1" applyBorder="1" applyAlignment="1" applyProtection="1">
      <alignment horizontal="center" vertical="center" wrapText="1"/>
    </xf>
    <xf numFmtId="0" fontId="24" fillId="27" borderId="7" xfId="0" applyFont="1" applyFill="1" applyBorder="1" applyAlignment="1" applyProtection="1">
      <alignment horizontal="center" vertical="center" wrapText="1"/>
    </xf>
    <xf numFmtId="0" fontId="28" fillId="0" borderId="49" xfId="0" applyFont="1" applyBorder="1" applyAlignment="1">
      <alignment horizontal="center" wrapText="1"/>
    </xf>
    <xf numFmtId="0" fontId="28" fillId="0" borderId="84" xfId="0" applyFont="1" applyBorder="1" applyAlignment="1">
      <alignment horizontal="center" wrapText="1"/>
    </xf>
    <xf numFmtId="0" fontId="28" fillId="0" borderId="72" xfId="0" applyFont="1" applyBorder="1" applyAlignment="1">
      <alignment horizontal="center" wrapText="1"/>
    </xf>
    <xf numFmtId="0" fontId="19" fillId="4" borderId="49" xfId="0" quotePrefix="1" applyFont="1" applyFill="1" applyBorder="1" applyAlignment="1">
      <alignment horizontal="left" vertical="center" wrapText="1"/>
    </xf>
    <xf numFmtId="0" fontId="19" fillId="4" borderId="84" xfId="0" quotePrefix="1" applyFont="1" applyFill="1" applyBorder="1" applyAlignment="1">
      <alignment horizontal="left" vertical="center" wrapText="1"/>
    </xf>
    <xf numFmtId="0" fontId="19" fillId="4" borderId="72" xfId="0" quotePrefix="1" applyFont="1" applyFill="1" applyBorder="1" applyAlignment="1">
      <alignment horizontal="left" vertical="center" wrapText="1"/>
    </xf>
    <xf numFmtId="0" fontId="19" fillId="4" borderId="49" xfId="0" applyFont="1" applyFill="1" applyBorder="1" applyAlignment="1">
      <alignment horizontal="left" vertical="center" wrapText="1"/>
    </xf>
    <xf numFmtId="0" fontId="19" fillId="4" borderId="84" xfId="0" applyFont="1" applyFill="1" applyBorder="1" applyAlignment="1">
      <alignment horizontal="left" vertical="center"/>
    </xf>
    <xf numFmtId="0" fontId="19" fillId="4" borderId="72" xfId="0" applyFont="1" applyFill="1" applyBorder="1" applyAlignment="1">
      <alignment horizontal="left" vertical="center"/>
    </xf>
    <xf numFmtId="0" fontId="19" fillId="0" borderId="49" xfId="0" applyFont="1" applyFill="1" applyBorder="1" applyAlignment="1">
      <alignment horizontal="left" vertical="center" wrapText="1"/>
    </xf>
    <xf numFmtId="0" fontId="19" fillId="0" borderId="84" xfId="0" applyFont="1" applyFill="1" applyBorder="1" applyAlignment="1">
      <alignment horizontal="left" vertical="center" wrapText="1"/>
    </xf>
    <xf numFmtId="0" fontId="19" fillId="0" borderId="72" xfId="0" applyFont="1" applyFill="1" applyBorder="1" applyAlignment="1">
      <alignment horizontal="left" vertical="center" wrapText="1"/>
    </xf>
    <xf numFmtId="0" fontId="19" fillId="4" borderId="84" xfId="0" applyFont="1" applyFill="1" applyBorder="1" applyAlignment="1">
      <alignment horizontal="left" vertical="center" wrapText="1"/>
    </xf>
    <xf numFmtId="0" fontId="19" fillId="4" borderId="72" xfId="0" applyFont="1" applyFill="1" applyBorder="1" applyAlignment="1">
      <alignment horizontal="left" vertical="center" wrapText="1"/>
    </xf>
    <xf numFmtId="0" fontId="19" fillId="0" borderId="49" xfId="0" quotePrefix="1" applyFont="1" applyBorder="1" applyAlignment="1">
      <alignment horizontal="left" vertical="center" wrapText="1"/>
    </xf>
    <xf numFmtId="0" fontId="19" fillId="0" borderId="84" xfId="0" quotePrefix="1" applyFont="1" applyBorder="1" applyAlignment="1">
      <alignment horizontal="left" vertical="center" wrapText="1"/>
    </xf>
    <xf numFmtId="0" fontId="19" fillId="0" borderId="72" xfId="0" quotePrefix="1" applyFont="1" applyBorder="1" applyAlignment="1">
      <alignment horizontal="left" vertical="center" wrapText="1"/>
    </xf>
    <xf numFmtId="0" fontId="19" fillId="0" borderId="49" xfId="0" quotePrefix="1" applyFont="1" applyFill="1" applyBorder="1" applyAlignment="1">
      <alignment horizontal="left" vertical="center" wrapText="1"/>
    </xf>
    <xf numFmtId="0" fontId="19" fillId="0" borderId="84" xfId="0" quotePrefix="1" applyFont="1" applyFill="1" applyBorder="1" applyAlignment="1">
      <alignment horizontal="left" vertical="center" wrapText="1"/>
    </xf>
    <xf numFmtId="0" fontId="19" fillId="0" borderId="72" xfId="0" quotePrefix="1" applyFont="1" applyFill="1" applyBorder="1" applyAlignment="1">
      <alignment horizontal="left" vertical="center" wrapText="1"/>
    </xf>
    <xf numFmtId="0" fontId="19" fillId="0" borderId="84" xfId="0" applyFont="1" applyBorder="1" applyAlignment="1">
      <alignment horizontal="left" vertical="center" wrapText="1"/>
    </xf>
    <xf numFmtId="0" fontId="19" fillId="0" borderId="72" xfId="0" applyFont="1" applyBorder="1" applyAlignment="1">
      <alignment horizontal="left" vertical="center" wrapText="1"/>
    </xf>
    <xf numFmtId="0" fontId="19" fillId="0" borderId="49" xfId="0" applyFont="1" applyBorder="1" applyAlignment="1">
      <alignment horizontal="left" vertical="center" wrapText="1"/>
    </xf>
    <xf numFmtId="0" fontId="19" fillId="4" borderId="0" xfId="0" applyFont="1" applyFill="1" applyBorder="1" applyAlignment="1">
      <alignment horizontal="center" vertical="center"/>
    </xf>
    <xf numFmtId="0" fontId="28" fillId="0" borderId="1" xfId="0" applyFont="1" applyBorder="1" applyAlignment="1" applyProtection="1">
      <alignment horizontal="center" vertical="center"/>
      <protection hidden="1"/>
    </xf>
    <xf numFmtId="0" fontId="28" fillId="15" borderId="29" xfId="0" applyFont="1" applyFill="1" applyBorder="1" applyAlignment="1">
      <alignment horizontal="center" vertical="center" wrapText="1"/>
    </xf>
    <xf numFmtId="0" fontId="28" fillId="15" borderId="57" xfId="0" applyFont="1" applyFill="1" applyBorder="1" applyAlignment="1">
      <alignment horizontal="center" vertical="center" wrapText="1"/>
    </xf>
    <xf numFmtId="0" fontId="19" fillId="0" borderId="40" xfId="0" applyFont="1" applyFill="1" applyBorder="1" applyAlignment="1">
      <alignment horizontal="left" vertical="center" wrapText="1"/>
    </xf>
    <xf numFmtId="0" fontId="19" fillId="0" borderId="44" xfId="0" applyFont="1" applyFill="1" applyBorder="1" applyAlignment="1">
      <alignment horizontal="left" vertical="center" wrapText="1"/>
    </xf>
    <xf numFmtId="0" fontId="19" fillId="0" borderId="46" xfId="0" applyFont="1" applyFill="1" applyBorder="1" applyAlignment="1">
      <alignment horizontal="left" vertical="center" wrapText="1"/>
    </xf>
    <xf numFmtId="0" fontId="19" fillId="0" borderId="43" xfId="0" applyFont="1" applyFill="1" applyBorder="1" applyAlignment="1">
      <alignment horizontal="left" vertical="center" wrapText="1"/>
    </xf>
    <xf numFmtId="0" fontId="19" fillId="0" borderId="45" xfId="0" applyFont="1" applyFill="1" applyBorder="1" applyAlignment="1">
      <alignment horizontal="left" vertical="center" wrapText="1"/>
    </xf>
    <xf numFmtId="0" fontId="19" fillId="0" borderId="48" xfId="0" applyFont="1" applyFill="1" applyBorder="1" applyAlignment="1">
      <alignment horizontal="left" vertical="center" wrapText="1"/>
    </xf>
    <xf numFmtId="0" fontId="19" fillId="4" borderId="40" xfId="0" applyFont="1" applyFill="1" applyBorder="1" applyAlignment="1">
      <alignment horizontal="left" vertical="center" wrapText="1"/>
    </xf>
    <xf numFmtId="0" fontId="19" fillId="4" borderId="44" xfId="0" applyFont="1" applyFill="1" applyBorder="1" applyAlignment="1">
      <alignment horizontal="left" vertical="center" wrapText="1"/>
    </xf>
    <xf numFmtId="0" fontId="19" fillId="4" borderId="46" xfId="0" applyFont="1" applyFill="1" applyBorder="1" applyAlignment="1">
      <alignment horizontal="left" vertical="center" wrapText="1"/>
    </xf>
    <xf numFmtId="0" fontId="19" fillId="0" borderId="0" xfId="0" applyFont="1" applyBorder="1" applyAlignment="1" applyProtection="1">
      <alignment horizontal="center" vertical="center"/>
      <protection hidden="1"/>
    </xf>
    <xf numFmtId="0" fontId="28" fillId="15" borderId="50" xfId="0" applyFont="1" applyFill="1" applyBorder="1" applyAlignment="1">
      <alignment horizontal="center" vertical="center" wrapText="1"/>
    </xf>
    <xf numFmtId="0" fontId="28" fillId="4" borderId="56" xfId="0" applyFont="1" applyFill="1" applyBorder="1" applyAlignment="1" applyProtection="1">
      <alignment horizontal="center" vertical="center"/>
      <protection locked="0" hidden="1"/>
    </xf>
    <xf numFmtId="0" fontId="28" fillId="4" borderId="20" xfId="0" applyFont="1" applyFill="1" applyBorder="1" applyAlignment="1" applyProtection="1">
      <alignment horizontal="center" vertical="center"/>
      <protection locked="0" hidden="1"/>
    </xf>
    <xf numFmtId="0" fontId="107" fillId="4" borderId="49" xfId="0" applyFont="1" applyFill="1" applyBorder="1" applyAlignment="1">
      <alignment horizontal="center" vertical="center"/>
    </xf>
    <xf numFmtId="0" fontId="107" fillId="4" borderId="84" xfId="0" applyFont="1" applyFill="1" applyBorder="1" applyAlignment="1">
      <alignment horizontal="center" vertical="center"/>
    </xf>
    <xf numFmtId="0" fontId="107" fillId="4" borderId="72" xfId="0" applyFont="1" applyFill="1" applyBorder="1" applyAlignment="1">
      <alignment horizontal="center" vertical="center"/>
    </xf>
    <xf numFmtId="0" fontId="83" fillId="15" borderId="122" xfId="0" applyFont="1" applyFill="1" applyBorder="1" applyAlignment="1" applyProtection="1">
      <alignment horizontal="left" vertical="center"/>
    </xf>
    <xf numFmtId="0" fontId="83" fillId="15" borderId="123" xfId="0" applyFont="1" applyFill="1" applyBorder="1" applyAlignment="1" applyProtection="1">
      <alignment horizontal="left" vertical="center"/>
    </xf>
    <xf numFmtId="0" fontId="83" fillId="15" borderId="124" xfId="0" applyFont="1" applyFill="1" applyBorder="1" applyAlignment="1" applyProtection="1">
      <alignment horizontal="left" vertical="center"/>
    </xf>
    <xf numFmtId="0" fontId="83" fillId="15" borderId="159" xfId="0" applyFont="1" applyFill="1" applyBorder="1" applyAlignment="1" applyProtection="1">
      <alignment horizontal="center" vertical="center"/>
      <protection hidden="1"/>
    </xf>
    <xf numFmtId="0" fontId="83" fillId="15" borderId="160" xfId="0" applyFont="1" applyFill="1" applyBorder="1" applyAlignment="1" applyProtection="1">
      <alignment horizontal="center" vertical="center"/>
      <protection hidden="1"/>
    </xf>
    <xf numFmtId="0" fontId="44" fillId="0" borderId="85" xfId="0" applyFont="1" applyBorder="1" applyAlignment="1">
      <alignment horizontal="center" vertical="center"/>
    </xf>
    <xf numFmtId="0" fontId="44" fillId="0" borderId="86" xfId="0" applyFont="1" applyBorder="1" applyAlignment="1">
      <alignment horizontal="center" vertical="center"/>
    </xf>
    <xf numFmtId="0" fontId="44" fillId="0" borderId="87" xfId="0" applyFont="1" applyBorder="1" applyAlignment="1">
      <alignment horizontal="center" vertical="center"/>
    </xf>
    <xf numFmtId="0" fontId="18" fillId="0" borderId="88" xfId="0" applyFont="1" applyBorder="1" applyAlignment="1">
      <alignment horizontal="center" vertical="center" wrapText="1"/>
    </xf>
    <xf numFmtId="0" fontId="18" fillId="0" borderId="89" xfId="0" applyFont="1" applyBorder="1" applyAlignment="1">
      <alignment horizontal="center" vertical="center" wrapText="1"/>
    </xf>
    <xf numFmtId="0" fontId="18" fillId="0" borderId="90" xfId="0" applyFont="1" applyBorder="1" applyAlignment="1">
      <alignment horizontal="center" vertical="center" wrapText="1"/>
    </xf>
    <xf numFmtId="0" fontId="28" fillId="0" borderId="91" xfId="0" applyFont="1" applyBorder="1" applyAlignment="1">
      <alignment horizontal="center" vertical="center"/>
    </xf>
    <xf numFmtId="0" fontId="28" fillId="0" borderId="92" xfId="0" applyFont="1" applyBorder="1" applyAlignment="1">
      <alignment horizontal="center" vertical="center"/>
    </xf>
    <xf numFmtId="0" fontId="28" fillId="0" borderId="93" xfId="0" applyFont="1" applyBorder="1" applyAlignment="1">
      <alignment horizontal="center" vertical="center"/>
    </xf>
    <xf numFmtId="0" fontId="45" fillId="15" borderId="94" xfId="0" applyFont="1" applyFill="1" applyBorder="1" applyAlignment="1">
      <alignment horizontal="center" vertical="center"/>
    </xf>
    <xf numFmtId="0" fontId="45" fillId="15" borderId="89" xfId="0" applyFont="1" applyFill="1" applyBorder="1" applyAlignment="1">
      <alignment horizontal="center" vertical="center"/>
    </xf>
    <xf numFmtId="0" fontId="45" fillId="15" borderId="90" xfId="0" applyFont="1" applyFill="1" applyBorder="1" applyAlignment="1">
      <alignment horizontal="center" vertical="center"/>
    </xf>
    <xf numFmtId="0" fontId="28" fillId="0" borderId="95" xfId="0" applyFont="1" applyBorder="1" applyAlignment="1">
      <alignment horizontal="center" vertical="center"/>
    </xf>
    <xf numFmtId="0" fontId="18" fillId="0" borderId="19"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73" xfId="0" applyFont="1" applyBorder="1" applyAlignment="1">
      <alignment horizontal="center" vertical="center" wrapText="1"/>
    </xf>
    <xf numFmtId="0" fontId="18" fillId="17" borderId="96" xfId="0" applyFont="1" applyFill="1" applyBorder="1" applyAlignment="1">
      <alignment horizontal="center" vertical="center" wrapText="1"/>
    </xf>
    <xf numFmtId="0" fontId="18" fillId="17" borderId="25" xfId="0" applyFont="1" applyFill="1" applyBorder="1" applyAlignment="1">
      <alignment horizontal="center" vertical="center" wrapText="1"/>
    </xf>
    <xf numFmtId="0" fontId="18" fillId="17" borderId="20"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5"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18" fillId="17" borderId="19" xfId="0" applyFont="1" applyFill="1" applyBorder="1" applyAlignment="1">
      <alignment horizontal="center" vertical="center" wrapText="1"/>
    </xf>
    <xf numFmtId="0" fontId="18" fillId="0" borderId="96" xfId="0" applyFont="1" applyBorder="1" applyAlignment="1">
      <alignment horizontal="center" vertical="center" wrapText="1"/>
    </xf>
    <xf numFmtId="0" fontId="18" fillId="0" borderId="20" xfId="0" applyFont="1" applyBorder="1" applyAlignment="1">
      <alignment horizontal="center" vertical="center" wrapText="1"/>
    </xf>
    <xf numFmtId="0" fontId="28" fillId="0" borderId="97" xfId="0" applyFont="1" applyBorder="1" applyAlignment="1">
      <alignment horizontal="center" vertical="center"/>
    </xf>
    <xf numFmtId="0" fontId="18" fillId="0" borderId="98" xfId="0" applyFont="1" applyBorder="1" applyAlignment="1">
      <alignment horizontal="center" vertical="center" wrapText="1"/>
    </xf>
    <xf numFmtId="0" fontId="18" fillId="0" borderId="94" xfId="0" applyFont="1" applyBorder="1" applyAlignment="1">
      <alignment horizontal="center" vertical="center" wrapText="1"/>
    </xf>
    <xf numFmtId="0" fontId="18" fillId="17" borderId="99" xfId="0" applyFont="1" applyFill="1" applyBorder="1" applyAlignment="1">
      <alignment horizontal="center" vertical="center" wrapText="1"/>
    </xf>
    <xf numFmtId="0" fontId="18" fillId="17" borderId="100" xfId="0" applyFont="1" applyFill="1" applyBorder="1" applyAlignment="1">
      <alignment horizontal="center" vertical="center" wrapText="1"/>
    </xf>
    <xf numFmtId="0" fontId="18" fillId="17" borderId="101" xfId="0" applyFont="1" applyFill="1" applyBorder="1" applyAlignment="1">
      <alignment horizontal="center" vertical="center" wrapText="1"/>
    </xf>
    <xf numFmtId="0" fontId="18" fillId="17" borderId="102" xfId="0" applyFont="1" applyFill="1" applyBorder="1" applyAlignment="1">
      <alignment horizontal="center" vertical="center" wrapText="1"/>
    </xf>
    <xf numFmtId="0" fontId="18" fillId="0" borderId="102" xfId="0" applyFont="1" applyBorder="1" applyAlignment="1">
      <alignment horizontal="center" vertical="center" wrapText="1"/>
    </xf>
    <xf numFmtId="0" fontId="18" fillId="0" borderId="100" xfId="0" applyFont="1" applyBorder="1" applyAlignment="1">
      <alignment horizontal="center" vertical="center" wrapText="1"/>
    </xf>
    <xf numFmtId="0" fontId="18" fillId="0" borderId="103" xfId="0" applyFont="1" applyBorder="1" applyAlignment="1">
      <alignment horizontal="center" vertical="center" wrapText="1"/>
    </xf>
    <xf numFmtId="0" fontId="79" fillId="4" borderId="49" xfId="0" applyFont="1" applyFill="1" applyBorder="1" applyAlignment="1">
      <alignment horizontal="center" vertical="center" wrapText="1"/>
    </xf>
    <xf numFmtId="0" fontId="79" fillId="4" borderId="84" xfId="0" applyFont="1" applyFill="1" applyBorder="1" applyAlignment="1">
      <alignment horizontal="center" vertical="center" wrapText="1"/>
    </xf>
    <xf numFmtId="0" fontId="79" fillId="4" borderId="72" xfId="0" applyFont="1" applyFill="1" applyBorder="1" applyAlignment="1">
      <alignment horizontal="center" vertical="center" wrapText="1"/>
    </xf>
    <xf numFmtId="0" fontId="47" fillId="0" borderId="104" xfId="0" applyFont="1" applyBorder="1" applyAlignment="1">
      <alignment horizontal="center" vertical="center"/>
    </xf>
    <xf numFmtId="0" fontId="47" fillId="0" borderId="77" xfId="0" applyFont="1" applyBorder="1" applyAlignment="1">
      <alignment horizontal="center" vertical="center"/>
    </xf>
    <xf numFmtId="0" fontId="47" fillId="0" borderId="78" xfId="0" applyFont="1" applyBorder="1" applyAlignment="1">
      <alignment horizontal="center" vertical="center"/>
    </xf>
    <xf numFmtId="0" fontId="19" fillId="4" borderId="105" xfId="0" applyFont="1" applyFill="1" applyBorder="1" applyAlignment="1">
      <alignment horizontal="left" vertical="top" wrapText="1"/>
    </xf>
    <xf numFmtId="0" fontId="19" fillId="4" borderId="79" xfId="0" applyFont="1" applyFill="1" applyBorder="1" applyAlignment="1">
      <alignment horizontal="left" vertical="top" wrapText="1"/>
    </xf>
    <xf numFmtId="0" fontId="19" fillId="4" borderId="106" xfId="0" applyFont="1" applyFill="1" applyBorder="1" applyAlignment="1">
      <alignment horizontal="left" vertical="top" wrapText="1"/>
    </xf>
    <xf numFmtId="0" fontId="28" fillId="15" borderId="49" xfId="0" applyFont="1" applyFill="1" applyBorder="1" applyAlignment="1">
      <alignment horizontal="center" vertical="center"/>
    </xf>
    <xf numFmtId="0" fontId="28" fillId="15" borderId="84" xfId="0" applyFont="1" applyFill="1" applyBorder="1" applyAlignment="1">
      <alignment horizontal="center" vertical="center"/>
    </xf>
    <xf numFmtId="0" fontId="28" fillId="15" borderId="72" xfId="0" applyFont="1" applyFill="1" applyBorder="1" applyAlignment="1">
      <alignment horizontal="center" vertical="center"/>
    </xf>
    <xf numFmtId="0" fontId="19" fillId="4" borderId="80" xfId="0" applyFont="1" applyFill="1" applyBorder="1" applyAlignment="1">
      <alignment horizontal="left" vertical="top" wrapText="1"/>
    </xf>
    <xf numFmtId="0" fontId="24" fillId="27" borderId="107" xfId="0" applyFont="1" applyFill="1" applyBorder="1" applyAlignment="1" applyProtection="1">
      <alignment horizontal="center" vertical="center" wrapText="1"/>
    </xf>
    <xf numFmtId="0" fontId="24" fillId="27" borderId="108" xfId="0" applyFont="1" applyFill="1" applyBorder="1" applyAlignment="1" applyProtection="1">
      <alignment horizontal="center" vertical="center" wrapText="1"/>
    </xf>
    <xf numFmtId="0" fontId="24" fillId="27" borderId="59" xfId="0" applyFont="1" applyFill="1" applyBorder="1" applyAlignment="1" applyProtection="1">
      <alignment horizontal="center" vertical="center" wrapText="1"/>
    </xf>
    <xf numFmtId="0" fontId="24" fillId="27" borderId="74" xfId="0" applyFont="1" applyFill="1" applyBorder="1" applyAlignment="1" applyProtection="1">
      <alignment horizontal="center" vertical="center" wrapText="1"/>
    </xf>
    <xf numFmtId="0" fontId="24" fillId="27" borderId="58" xfId="0" applyFont="1" applyFill="1" applyBorder="1" applyAlignment="1" applyProtection="1">
      <alignment horizontal="center" vertical="center" wrapText="1"/>
    </xf>
    <xf numFmtId="0" fontId="19" fillId="4" borderId="19" xfId="0" applyFont="1" applyFill="1" applyBorder="1" applyAlignment="1">
      <alignment horizontal="left" vertical="top" wrapText="1"/>
    </xf>
    <xf numFmtId="0" fontId="19" fillId="4" borderId="25" xfId="0" applyFont="1" applyFill="1" applyBorder="1" applyAlignment="1">
      <alignment horizontal="left" vertical="top" wrapText="1"/>
    </xf>
    <xf numFmtId="0" fontId="19" fillId="4" borderId="73" xfId="0" applyFont="1" applyFill="1" applyBorder="1" applyAlignment="1">
      <alignment horizontal="left" vertical="top" wrapText="1"/>
    </xf>
    <xf numFmtId="0" fontId="19" fillId="4" borderId="109" xfId="0" applyFont="1" applyFill="1" applyBorder="1" applyAlignment="1">
      <alignment horizontal="left" vertical="top" wrapText="1"/>
    </xf>
    <xf numFmtId="0" fontId="19" fillId="4" borderId="110" xfId="0" applyFont="1" applyFill="1" applyBorder="1" applyAlignment="1">
      <alignment horizontal="left" vertical="top" wrapText="1"/>
    </xf>
    <xf numFmtId="0" fontId="19" fillId="4" borderId="83" xfId="0" applyFont="1" applyFill="1" applyBorder="1" applyAlignment="1">
      <alignment horizontal="left" vertical="top" wrapText="1"/>
    </xf>
    <xf numFmtId="0" fontId="19" fillId="4" borderId="20" xfId="0" applyFont="1" applyFill="1" applyBorder="1" applyAlignment="1">
      <alignment horizontal="left" vertical="top" wrapText="1"/>
    </xf>
    <xf numFmtId="168" fontId="5" fillId="4" borderId="13" xfId="0" applyNumberFormat="1" applyFont="1" applyFill="1" applyBorder="1" applyAlignment="1" applyProtection="1">
      <alignment horizontal="left"/>
    </xf>
    <xf numFmtId="168" fontId="5" fillId="4" borderId="14" xfId="0" applyNumberFormat="1" applyFont="1" applyFill="1" applyBorder="1" applyAlignment="1" applyProtection="1">
      <alignment horizontal="left"/>
    </xf>
    <xf numFmtId="0" fontId="5" fillId="2" borderId="0" xfId="0" applyFont="1" applyFill="1" applyBorder="1" applyAlignment="1" applyProtection="1">
      <alignment horizontal="center" vertical="center"/>
    </xf>
    <xf numFmtId="0" fontId="5" fillId="2" borderId="0" xfId="0" applyFont="1" applyFill="1" applyBorder="1" applyAlignment="1" applyProtection="1"/>
    <xf numFmtId="168" fontId="0" fillId="0" borderId="14" xfId="0" applyNumberFormat="1" applyBorder="1" applyProtection="1"/>
    <xf numFmtId="0" fontId="20" fillId="14" borderId="111" xfId="0" applyFont="1" applyFill="1" applyBorder="1" applyAlignment="1" applyProtection="1">
      <alignment horizontal="center" vertical="top"/>
    </xf>
    <xf numFmtId="0" fontId="20" fillId="14" borderId="11" xfId="0" applyFont="1" applyFill="1" applyBorder="1" applyAlignment="1" applyProtection="1">
      <alignment horizontal="center" vertical="top"/>
    </xf>
    <xf numFmtId="0" fontId="5" fillId="2" borderId="0" xfId="0" applyFont="1" applyFill="1" applyBorder="1" applyAlignment="1" applyProtection="1">
      <alignment horizontal="center" wrapText="1"/>
    </xf>
    <xf numFmtId="0" fontId="0" fillId="0" borderId="0" xfId="0" applyAlignment="1" applyProtection="1">
      <alignment horizontal="center" wrapText="1"/>
    </xf>
    <xf numFmtId="0" fontId="7" fillId="2" borderId="13" xfId="0" applyFont="1" applyFill="1" applyBorder="1" applyAlignment="1" applyProtection="1">
      <alignment horizontal="center"/>
    </xf>
    <xf numFmtId="0" fontId="7" fillId="2" borderId="14" xfId="0" applyFont="1" applyFill="1" applyBorder="1" applyAlignment="1" applyProtection="1">
      <alignment horizontal="center"/>
    </xf>
    <xf numFmtId="0" fontId="9" fillId="4" borderId="13" xfId="0" applyFont="1" applyFill="1" applyBorder="1" applyAlignment="1" applyProtection="1"/>
    <xf numFmtId="0" fontId="9" fillId="0" borderId="14" xfId="0" applyFont="1" applyBorder="1" applyAlignment="1" applyProtection="1"/>
    <xf numFmtId="0" fontId="36" fillId="2" borderId="13" xfId="0" applyFont="1" applyFill="1" applyBorder="1" applyAlignment="1" applyProtection="1">
      <alignment horizontal="center"/>
    </xf>
    <xf numFmtId="0" fontId="36" fillId="2" borderId="14" xfId="0" applyFont="1" applyFill="1" applyBorder="1" applyAlignment="1" applyProtection="1">
      <alignment horizontal="center"/>
    </xf>
    <xf numFmtId="0" fontId="5" fillId="2" borderId="0" xfId="0" quotePrefix="1" applyFont="1" applyFill="1" applyBorder="1" applyAlignment="1" applyProtection="1">
      <alignment horizontal="center" vertical="center"/>
    </xf>
    <xf numFmtId="0" fontId="9" fillId="2" borderId="35" xfId="0" applyFont="1" applyFill="1" applyBorder="1" applyAlignment="1" applyProtection="1">
      <alignment horizontal="left"/>
    </xf>
    <xf numFmtId="0" fontId="9" fillId="2" borderId="0" xfId="0" applyFont="1" applyFill="1" applyBorder="1" applyAlignment="1" applyProtection="1">
      <alignment horizontal="left"/>
    </xf>
    <xf numFmtId="2" fontId="25" fillId="2" borderId="0" xfId="0" applyNumberFormat="1" applyFont="1" applyFill="1" applyBorder="1" applyAlignment="1" applyProtection="1">
      <alignment horizontal="center" vertical="center"/>
    </xf>
    <xf numFmtId="0" fontId="25" fillId="2" borderId="0" xfId="0" applyFont="1" applyFill="1" applyBorder="1" applyAlignment="1" applyProtection="1">
      <alignment horizontal="center"/>
    </xf>
    <xf numFmtId="0" fontId="8" fillId="2" borderId="0" xfId="0" applyFont="1" applyFill="1" applyBorder="1" applyAlignment="1" applyProtection="1">
      <alignment horizontal="left" vertical="center" wrapText="1"/>
    </xf>
    <xf numFmtId="0" fontId="0" fillId="0" borderId="0" xfId="0" applyAlignment="1" applyProtection="1">
      <alignment vertical="center" wrapText="1"/>
    </xf>
    <xf numFmtId="0" fontId="5" fillId="2" borderId="0" xfId="0" applyFont="1" applyFill="1" applyBorder="1" applyAlignment="1" applyProtection="1">
      <alignment horizontal="center"/>
    </xf>
    <xf numFmtId="2" fontId="33" fillId="2" borderId="0"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xf>
    <xf numFmtId="0" fontId="30" fillId="2" borderId="0" xfId="0" applyFont="1" applyFill="1" applyBorder="1" applyAlignment="1" applyProtection="1">
      <alignment horizontal="center"/>
    </xf>
    <xf numFmtId="166" fontId="5" fillId="4" borderId="13" xfId="0" applyNumberFormat="1" applyFont="1" applyFill="1" applyBorder="1" applyAlignment="1" applyProtection="1">
      <alignment wrapText="1"/>
    </xf>
    <xf numFmtId="0" fontId="0" fillId="0" borderId="5" xfId="0" applyBorder="1" applyAlignment="1" applyProtection="1">
      <alignment wrapText="1"/>
    </xf>
    <xf numFmtId="0" fontId="0" fillId="0" borderId="14" xfId="0" applyBorder="1" applyAlignment="1" applyProtection="1">
      <alignment wrapText="1"/>
    </xf>
    <xf numFmtId="4" fontId="37" fillId="2" borderId="0" xfId="0" applyNumberFormat="1" applyFont="1" applyFill="1" applyBorder="1" applyAlignment="1" applyProtection="1">
      <alignment horizontal="center" vertical="center"/>
    </xf>
    <xf numFmtId="0" fontId="18" fillId="0" borderId="0" xfId="0" applyFont="1" applyAlignment="1" applyProtection="1">
      <alignment vertical="center"/>
    </xf>
    <xf numFmtId="0" fontId="52" fillId="2" borderId="0" xfId="0" applyFont="1" applyFill="1" applyBorder="1" applyAlignment="1" applyProtection="1">
      <alignment horizontal="left" vertical="top" wrapText="1"/>
    </xf>
    <xf numFmtId="0" fontId="9" fillId="2" borderId="0" xfId="0" applyFont="1" applyFill="1" applyBorder="1" applyAlignment="1" applyProtection="1">
      <alignment horizontal="left" vertical="top" wrapText="1"/>
    </xf>
    <xf numFmtId="0" fontId="9" fillId="2" borderId="0" xfId="0" applyFont="1" applyFill="1" applyBorder="1" applyAlignment="1" applyProtection="1">
      <alignment horizontal="center" vertical="center"/>
    </xf>
    <xf numFmtId="0" fontId="5" fillId="2" borderId="0" xfId="0" applyFont="1" applyFill="1" applyAlignment="1" applyProtection="1">
      <alignment vertical="center" wrapText="1"/>
    </xf>
    <xf numFmtId="1" fontId="51" fillId="4" borderId="69" xfId="0" applyNumberFormat="1" applyFont="1" applyFill="1" applyBorder="1" applyAlignment="1" applyProtection="1">
      <alignment horizontal="center" vertical="center"/>
    </xf>
    <xf numFmtId="1" fontId="51" fillId="4" borderId="70" xfId="0" applyNumberFormat="1" applyFont="1" applyFill="1" applyBorder="1" applyAlignment="1" applyProtection="1">
      <alignment horizontal="center" vertical="center"/>
    </xf>
    <xf numFmtId="1" fontId="51" fillId="4" borderId="71" xfId="0" applyNumberFormat="1" applyFont="1" applyFill="1" applyBorder="1" applyAlignment="1" applyProtection="1">
      <alignment horizontal="center" vertical="center"/>
    </xf>
    <xf numFmtId="0" fontId="5" fillId="2" borderId="0" xfId="0" applyFont="1" applyFill="1" applyBorder="1" applyAlignment="1" applyProtection="1">
      <alignment horizontal="right" vertical="center"/>
    </xf>
    <xf numFmtId="0" fontId="19" fillId="23" borderId="19" xfId="0" quotePrefix="1" applyFont="1" applyFill="1" applyBorder="1" applyAlignment="1">
      <alignment horizontal="left" vertical="top" wrapText="1"/>
    </xf>
    <xf numFmtId="0" fontId="19" fillId="23" borderId="25" xfId="0" quotePrefix="1" applyFont="1" applyFill="1" applyBorder="1" applyAlignment="1">
      <alignment horizontal="left" vertical="top" wrapText="1"/>
    </xf>
    <xf numFmtId="0" fontId="19" fillId="23" borderId="73" xfId="0" quotePrefix="1" applyFont="1" applyFill="1" applyBorder="1" applyAlignment="1">
      <alignment horizontal="left" vertical="top" wrapText="1"/>
    </xf>
    <xf numFmtId="0" fontId="102" fillId="23" borderId="44" xfId="0" quotePrefix="1" applyFont="1" applyFill="1" applyBorder="1" applyAlignment="1">
      <alignment horizontal="left" vertical="top" wrapText="1"/>
    </xf>
    <xf numFmtId="0" fontId="102" fillId="23" borderId="46" xfId="0" quotePrefix="1" applyFont="1" applyFill="1" applyBorder="1" applyAlignment="1">
      <alignment horizontal="left" vertical="top" wrapText="1"/>
    </xf>
    <xf numFmtId="0" fontId="102" fillId="23" borderId="45" xfId="0" quotePrefix="1" applyFont="1" applyFill="1" applyBorder="1" applyAlignment="1">
      <alignment horizontal="left" vertical="top" wrapText="1"/>
    </xf>
    <xf numFmtId="0" fontId="102" fillId="23" borderId="48" xfId="0" quotePrefix="1" applyFont="1" applyFill="1" applyBorder="1" applyAlignment="1">
      <alignment horizontal="left" vertical="top" wrapText="1"/>
    </xf>
    <xf numFmtId="0" fontId="48" fillId="23" borderId="49" xfId="0" applyFont="1" applyFill="1" applyBorder="1" applyAlignment="1">
      <alignment horizontal="center" vertical="center" wrapText="1"/>
    </xf>
    <xf numFmtId="0" fontId="48" fillId="23" borderId="84" xfId="0" applyFont="1" applyFill="1" applyBorder="1" applyAlignment="1">
      <alignment horizontal="center" vertical="center" wrapText="1"/>
    </xf>
    <xf numFmtId="0" fontId="48" fillId="23" borderId="72" xfId="0" applyFont="1" applyFill="1" applyBorder="1" applyAlignment="1">
      <alignment horizontal="center" vertical="center" wrapText="1"/>
    </xf>
    <xf numFmtId="0" fontId="103" fillId="23" borderId="49" xfId="0" applyFont="1" applyFill="1" applyBorder="1" applyAlignment="1">
      <alignment horizontal="center" vertical="center" wrapText="1"/>
    </xf>
    <xf numFmtId="0" fontId="103" fillId="23" borderId="84" xfId="0" applyFont="1" applyFill="1" applyBorder="1" applyAlignment="1">
      <alignment horizontal="center" vertical="center" wrapText="1"/>
    </xf>
    <xf numFmtId="0" fontId="103" fillId="23" borderId="72" xfId="0" applyFont="1" applyFill="1" applyBorder="1" applyAlignment="1">
      <alignment horizontal="center" vertical="center" wrapText="1"/>
    </xf>
    <xf numFmtId="0" fontId="19" fillId="0" borderId="109" xfId="0" applyFont="1" applyBorder="1" applyAlignment="1">
      <alignment horizontal="left" vertical="top" wrapText="1"/>
    </xf>
    <xf numFmtId="0" fontId="19" fillId="0" borderId="110" xfId="0" applyFont="1" applyBorder="1" applyAlignment="1">
      <alignment horizontal="left" vertical="top" wrapText="1"/>
    </xf>
    <xf numFmtId="0" fontId="19" fillId="0" borderId="83" xfId="0" applyFont="1" applyBorder="1" applyAlignment="1">
      <alignment horizontal="left" vertical="top" wrapText="1"/>
    </xf>
    <xf numFmtId="0" fontId="88" fillId="23" borderId="112" xfId="0" quotePrefix="1" applyFont="1" applyFill="1" applyBorder="1" applyAlignment="1">
      <alignment horizontal="center" vertical="center" wrapText="1"/>
    </xf>
    <xf numFmtId="0" fontId="88" fillId="23" borderId="1" xfId="0" quotePrefix="1" applyFont="1" applyFill="1" applyBorder="1" applyAlignment="1">
      <alignment horizontal="center" vertical="center" wrapText="1"/>
    </xf>
    <xf numFmtId="0" fontId="88" fillId="23" borderId="113" xfId="0" quotePrefix="1" applyFont="1" applyFill="1" applyBorder="1" applyAlignment="1">
      <alignment horizontal="center" vertical="center" wrapText="1"/>
    </xf>
  </cellXfs>
  <cellStyles count="7">
    <cellStyle name="Comma" xfId="1" builtinId="3"/>
    <cellStyle name="Comma 2" xfId="2"/>
    <cellStyle name="Currency" xfId="3" builtinId="4"/>
    <cellStyle name="Hyperlink" xfId="4" builtinId="8"/>
    <cellStyle name="Normal" xfId="0" builtinId="0"/>
    <cellStyle name="Normal 2" xfId="5"/>
    <cellStyle name="Normal 3" xfId="6"/>
  </cellStyles>
  <dxfs count="128">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auto="1"/>
      </font>
      <fill>
        <patternFill>
          <bgColor indexed="10"/>
        </patternFill>
      </fill>
    </dxf>
    <dxf>
      <font>
        <condense val="0"/>
        <extend val="0"/>
        <color indexed="9"/>
      </font>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2"/>
      </font>
    </dxf>
    <dxf>
      <font>
        <condense val="0"/>
        <extend val="0"/>
        <color indexed="12"/>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2"/>
      </font>
    </dxf>
    <dxf>
      <font>
        <condense val="0"/>
        <extend val="0"/>
        <color indexed="12"/>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24"/>
      </font>
    </dxf>
    <dxf>
      <font>
        <condense val="0"/>
        <extend val="0"/>
        <color indexed="9"/>
      </font>
    </dxf>
    <dxf>
      <font>
        <condense val="0"/>
        <extend val="0"/>
        <color indexed="10"/>
      </font>
    </dxf>
    <dxf>
      <font>
        <condense val="0"/>
        <extend val="0"/>
        <color indexed="10"/>
      </font>
    </dxf>
    <dxf>
      <font>
        <condense val="0"/>
        <extend val="0"/>
        <color indexed="24"/>
      </font>
    </dxf>
    <dxf>
      <font>
        <condense val="0"/>
        <extend val="0"/>
        <color indexed="9"/>
      </font>
    </dxf>
    <dxf>
      <font>
        <condense val="0"/>
        <extend val="0"/>
        <color indexed="9"/>
      </font>
    </dxf>
    <dxf>
      <font>
        <b/>
        <i val="0"/>
        <condense val="0"/>
        <extend val="0"/>
      </font>
    </dxf>
    <dxf>
      <font>
        <condense val="0"/>
        <extend val="0"/>
        <color auto="1"/>
      </font>
    </dxf>
    <dxf>
      <font>
        <condense val="0"/>
        <extend val="0"/>
        <color indexed="10"/>
      </font>
      <fill>
        <patternFill>
          <bgColor indexed="9"/>
        </patternFill>
      </fill>
      <border>
        <left/>
        <right/>
        <top style="thin">
          <color indexed="10"/>
        </top>
        <bottom style="thin">
          <color indexed="10"/>
        </bottom>
      </border>
    </dxf>
    <dxf>
      <font>
        <condense val="0"/>
        <extend val="0"/>
        <color indexed="10"/>
      </font>
      <fill>
        <patternFill>
          <bgColor indexed="9"/>
        </patternFill>
      </fill>
      <border>
        <left/>
        <right/>
        <top style="thin">
          <color indexed="10"/>
        </top>
        <bottom style="thin">
          <color indexed="10"/>
        </bottom>
      </border>
    </dxf>
    <dxf>
      <font>
        <condense val="0"/>
        <extend val="0"/>
        <color indexed="10"/>
      </font>
      <fill>
        <patternFill>
          <bgColor indexed="9"/>
        </patternFill>
      </fill>
      <border>
        <left/>
        <right style="thin">
          <color indexed="10"/>
        </right>
        <top style="thin">
          <color indexed="10"/>
        </top>
        <bottom style="thin">
          <color indexed="10"/>
        </bottom>
      </border>
    </dxf>
    <dxf>
      <font>
        <condense val="0"/>
        <extend val="0"/>
        <color indexed="10"/>
      </font>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13"/>
        </patternFill>
      </fill>
    </dxf>
    <dxf>
      <font>
        <b/>
        <i val="0"/>
        <condense val="0"/>
        <extend val="0"/>
        <color indexed="10"/>
      </font>
    </dxf>
    <dxf>
      <font>
        <b val="0"/>
        <i val="0"/>
        <condense val="0"/>
        <extend val="0"/>
      </font>
      <fill>
        <patternFill patternType="solid">
          <bgColor indexed="13"/>
        </patternFill>
      </fill>
    </dxf>
    <dxf>
      <font>
        <b val="0"/>
        <i val="0"/>
        <condense val="0"/>
        <extend val="0"/>
      </font>
      <fill>
        <patternFill patternType="solid">
          <bgColor indexed="13"/>
        </patternFill>
      </fill>
    </dxf>
    <dxf>
      <font>
        <b/>
        <i val="0"/>
        <condense val="0"/>
        <extend val="0"/>
        <color indexed="10"/>
      </font>
    </dxf>
    <dxf>
      <font>
        <b val="0"/>
        <i val="0"/>
        <condense val="0"/>
        <extend val="0"/>
      </font>
      <fill>
        <patternFill patternType="solid">
          <bgColor indexed="13"/>
        </patternFill>
      </fill>
    </dxf>
    <dxf>
      <font>
        <b/>
        <i val="0"/>
        <condense val="0"/>
        <extend val="0"/>
        <color indexed="10"/>
      </font>
    </dxf>
    <dxf>
      <font>
        <b/>
        <i val="0"/>
        <condense val="0"/>
        <extend val="0"/>
        <color indexed="10"/>
      </font>
    </dxf>
    <dxf>
      <font>
        <b val="0"/>
        <i val="0"/>
        <condense val="0"/>
        <extend val="0"/>
        <color auto="1"/>
      </font>
      <fill>
        <patternFill>
          <bgColor indexed="13"/>
        </patternFill>
      </fill>
    </dxf>
    <dxf>
      <font>
        <condense val="0"/>
        <extend val="0"/>
        <color auto="1"/>
      </font>
      <fill>
        <patternFill>
          <bgColor indexed="13"/>
        </patternFill>
      </fill>
    </dxf>
    <dxf>
      <font>
        <condense val="0"/>
        <extend val="0"/>
        <u val="none"/>
      </font>
      <fill>
        <patternFill>
          <bgColor indexed="13"/>
        </patternFill>
      </fill>
    </dxf>
    <dxf>
      <font>
        <b val="0"/>
        <i val="0"/>
        <condense val="0"/>
        <extend val="0"/>
      </font>
      <fill>
        <patternFill patternType="solid">
          <bgColor indexed="13"/>
        </patternFill>
      </fill>
    </dxf>
    <dxf>
      <font>
        <b/>
        <i val="0"/>
        <condense val="0"/>
        <extend val="0"/>
        <color indexed="10"/>
      </font>
    </dxf>
    <dxf>
      <font>
        <color theme="0" tint="-0.34998626667073579"/>
      </font>
    </dxf>
    <dxf>
      <font>
        <color theme="0" tint="-0.34998626667073579"/>
      </font>
    </dxf>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lor rgb="FFFF0000"/>
      </font>
    </dxf>
    <dxf>
      <font>
        <color rgb="FFFFFF66"/>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bottom/>
      </border>
    </dxf>
    <dxf>
      <font>
        <color theme="4" tint="0.79998168889431442"/>
        <name val="Cambria"/>
        <scheme val="none"/>
      </font>
      <fill>
        <patternFill>
          <bgColor theme="4" tint="0.79998168889431442"/>
        </patternFill>
      </fill>
      <border>
        <left/>
        <right/>
        <top/>
        <bottom/>
      </border>
    </dxf>
    <dxf>
      <font>
        <color theme="0" tint="-0.499984740745262"/>
      </font>
    </dxf>
    <dxf>
      <font>
        <color theme="4" tint="0.79998168889431442"/>
      </font>
      <fill>
        <patternFill>
          <bgColor theme="4" tint="0.79998168889431442"/>
        </patternFill>
      </fill>
    </dxf>
    <dxf>
      <font>
        <color theme="4" tint="0.79998168889431442"/>
        <name val="Cambria"/>
        <scheme val="none"/>
      </font>
      <fill>
        <patternFill>
          <bgColor theme="4" tint="0.79998168889431442"/>
        </patternFill>
      </fill>
    </dxf>
    <dxf>
      <font>
        <color theme="4" tint="0.79998168889431442"/>
      </font>
      <fill>
        <patternFill patternType="solid">
          <bgColor theme="4" tint="0.79995117038483843"/>
        </patternFill>
      </fill>
    </dxf>
    <dxf>
      <font>
        <condense val="0"/>
        <extend val="0"/>
        <color indexed="9"/>
      </font>
    </dxf>
    <dxf>
      <font>
        <color theme="7" tint="0.59996337778862885"/>
        <name val="Cambria"/>
        <scheme val="none"/>
      </font>
    </dxf>
    <dxf>
      <font>
        <condense val="0"/>
        <extend val="0"/>
        <color indexed="10"/>
      </font>
    </dxf>
    <dxf>
      <font>
        <b/>
        <i val="0"/>
        <condense val="0"/>
        <extend val="0"/>
      </font>
    </dxf>
    <dxf>
      <font>
        <condense val="0"/>
        <extend val="0"/>
        <color auto="1"/>
      </font>
    </dxf>
    <dxf>
      <font>
        <color theme="0"/>
      </font>
    </dxf>
    <dxf>
      <font>
        <color theme="0"/>
      </font>
    </dxf>
    <dxf>
      <font>
        <strike val="0"/>
        <color theme="0"/>
      </font>
    </dxf>
    <dxf>
      <font>
        <strike val="0"/>
        <color theme="0"/>
      </font>
    </dxf>
    <dxf>
      <font>
        <color theme="0"/>
      </font>
    </dxf>
    <dxf>
      <font>
        <strike val="0"/>
        <color theme="0"/>
      </font>
    </dxf>
    <dxf>
      <font>
        <condense val="0"/>
        <extend val="0"/>
        <color indexed="10"/>
      </font>
    </dxf>
    <dxf>
      <font>
        <condense val="0"/>
        <extend val="0"/>
        <color indexed="10"/>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b/>
        <i val="0"/>
        <strike val="0"/>
        <color theme="3"/>
      </font>
    </dxf>
    <dxf>
      <font>
        <condense val="0"/>
        <extend val="0"/>
        <color auto="1"/>
      </font>
      <fill>
        <patternFill>
          <bgColor indexed="10"/>
        </patternFill>
      </fill>
    </dxf>
    <dxf>
      <font>
        <condense val="0"/>
        <extend val="0"/>
        <color indexed="9"/>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b/>
        <i val="0"/>
        <color theme="3"/>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b/>
        <i val="0"/>
        <strike val="0"/>
        <color theme="3"/>
      </font>
    </dxf>
    <dxf>
      <font>
        <b/>
        <i val="0"/>
        <strike val="0"/>
        <color theme="3"/>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7" tint="0.59996337778862885"/>
        <name val="Cambria"/>
        <scheme val="none"/>
      </font>
    </dxf>
    <dxf>
      <font>
        <condense val="0"/>
        <extend val="0"/>
        <color indexed="9"/>
      </font>
    </dxf>
    <dxf>
      <font>
        <condense val="0"/>
        <extend val="0"/>
        <color indexed="10"/>
      </font>
    </dxf>
    <dxf>
      <font>
        <condense val="0"/>
        <extend val="0"/>
        <color indexed="10"/>
      </font>
    </dxf>
    <dxf>
      <font>
        <color theme="7" tint="0.59996337778862885"/>
        <name val="Cambria"/>
        <scheme val="none"/>
      </font>
    </dxf>
    <dxf>
      <font>
        <condense val="0"/>
        <extend val="0"/>
        <color indexed="9"/>
      </font>
    </dxf>
    <dxf>
      <font>
        <condense val="0"/>
        <extend val="0"/>
        <color indexed="9"/>
      </font>
    </dxf>
    <dxf>
      <font>
        <condense val="0"/>
        <extend val="0"/>
        <color indexed="10"/>
      </font>
    </dxf>
    <dxf>
      <font>
        <color theme="4" tint="0.79998168889431442"/>
      </font>
    </dxf>
    <dxf>
      <font>
        <color theme="4" tint="0.79998168889431442"/>
      </font>
      <fill>
        <patternFill>
          <bgColor theme="4" tint="0.79998168889431442"/>
        </patternFill>
      </fill>
      <border>
        <left/>
        <right/>
        <top/>
        <bottom/>
      </border>
    </dxf>
    <dxf>
      <font>
        <color theme="4" tint="0.79998168889431442"/>
      </font>
    </dxf>
    <dxf>
      <font>
        <color theme="4" tint="0.79998168889431442"/>
      </font>
    </dxf>
    <dxf>
      <font>
        <color theme="4" tint="0.79998168889431442"/>
      </font>
    </dxf>
    <dxf>
      <font>
        <color theme="4" tint="0.79998168889431442"/>
      </font>
      <fill>
        <patternFill>
          <bgColor theme="4" tint="0.79998168889431442"/>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=$56,811</c:v>
            </c:pt>
          </c:strCache>
        </c:strRef>
      </c:tx>
      <c:overlay val="1"/>
      <c:txPr>
        <a:bodyPr/>
        <a:lstStyle/>
        <a:p>
          <a:pPr>
            <a:defRPr sz="1200" b="0"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29996331783828228"/>
          <c:y val="8.9751571751205517E-2"/>
          <c:w val="0.6598760395914367"/>
          <c:h val="0.61196270920680373"/>
        </c:manualLayout>
      </c:layout>
      <c:barChart>
        <c:barDir val="col"/>
        <c:grouping val="clustered"/>
        <c:varyColors val="0"/>
        <c:ser>
          <c:idx val="0"/>
          <c:order val="0"/>
          <c:tx>
            <c:strRef>
              <c:f>Sheet1!$A$90</c:f>
              <c:strCache>
                <c:ptCount val="1"/>
                <c:pt idx="0">
                  <c:v>Unbilled metered (valued at Var. Prod. Cost)</c:v>
                </c:pt>
              </c:strCache>
            </c:strRef>
          </c:tx>
          <c:spPr>
            <a:effectLst/>
            <a:scene3d>
              <a:camera prst="orthographicFront"/>
              <a:lightRig rig="threePt" dir="t"/>
            </a:scene3d>
          </c:spPr>
          <c:invertIfNegative val="0"/>
          <c:val>
            <c:numRef>
              <c:f>Sheet1!$E$90</c:f>
              <c:numCache>
                <c:formatCode>0.0</c:formatCode>
                <c:ptCount val="1"/>
                <c:pt idx="0">
                  <c:v>0</c:v>
                </c:pt>
              </c:numCache>
            </c:numRef>
          </c:val>
        </c:ser>
        <c:ser>
          <c:idx val="1"/>
          <c:order val="1"/>
          <c:tx>
            <c:strRef>
              <c:f>Sheet1!$A$91</c:f>
              <c:strCache>
                <c:ptCount val="1"/>
                <c:pt idx="0">
                  <c:v>Unbilled unmetered (valued at Var. Prod. Cost)</c:v>
                </c:pt>
              </c:strCache>
            </c:strRef>
          </c:tx>
          <c:spPr>
            <a:effectLst/>
          </c:spPr>
          <c:invertIfNegative val="0"/>
          <c:val>
            <c:numRef>
              <c:f>Sheet1!$E$91</c:f>
              <c:numCache>
                <c:formatCode>0.0</c:formatCode>
                <c:ptCount val="1"/>
                <c:pt idx="0">
                  <c:v>2452.0147520000005</c:v>
                </c:pt>
              </c:numCache>
            </c:numRef>
          </c:val>
        </c:ser>
        <c:ser>
          <c:idx val="2"/>
          <c:order val="2"/>
          <c:tx>
            <c:strRef>
              <c:f>Sheet1!$A$94</c:f>
              <c:strCache>
                <c:ptCount val="1"/>
                <c:pt idx="0">
                  <c:v>Unauth. consumption</c:v>
                </c:pt>
              </c:strCache>
            </c:strRef>
          </c:tx>
          <c:spPr>
            <a:effectLst/>
          </c:spPr>
          <c:invertIfNegative val="0"/>
          <c:val>
            <c:numRef>
              <c:f>Sheet1!$E$94</c:f>
              <c:numCache>
                <c:formatCode>0.0</c:formatCode>
                <c:ptCount val="1"/>
                <c:pt idx="0">
                  <c:v>8088.8880000000008</c:v>
                </c:pt>
              </c:numCache>
            </c:numRef>
          </c:val>
        </c:ser>
        <c:ser>
          <c:idx val="3"/>
          <c:order val="3"/>
          <c:tx>
            <c:strRef>
              <c:f>Sheet1!$A$95</c:f>
              <c:strCache>
                <c:ptCount val="1"/>
                <c:pt idx="0">
                  <c:v>Cust. metering inaccuracies</c:v>
                </c:pt>
              </c:strCache>
            </c:strRef>
          </c:tx>
          <c:spPr>
            <a:effectLst/>
          </c:spPr>
          <c:invertIfNegative val="0"/>
          <c:val>
            <c:numRef>
              <c:f>Sheet1!$E$95</c:f>
              <c:numCache>
                <c:formatCode>0.0</c:formatCode>
                <c:ptCount val="1"/>
                <c:pt idx="0">
                  <c:v>30519.588282828481</c:v>
                </c:pt>
              </c:numCache>
            </c:numRef>
          </c:val>
        </c:ser>
        <c:ser>
          <c:idx val="4"/>
          <c:order val="4"/>
          <c:tx>
            <c:strRef>
              <c:f>Sheet1!$A$96</c:f>
              <c:strCache>
                <c:ptCount val="1"/>
                <c:pt idx="0">
                  <c:v>Syst. data handling errors</c:v>
                </c:pt>
              </c:strCache>
            </c:strRef>
          </c:tx>
          <c:spPr>
            <a:effectLst/>
          </c:spPr>
          <c:invertIfNegative val="0"/>
          <c:val>
            <c:numRef>
              <c:f>Sheet1!$E$96</c:f>
              <c:numCache>
                <c:formatCode>0.0</c:formatCode>
                <c:ptCount val="1"/>
                <c:pt idx="0">
                  <c:v>7553.5981000000002</c:v>
                </c:pt>
              </c:numCache>
            </c:numRef>
          </c:val>
        </c:ser>
        <c:ser>
          <c:idx val="5"/>
          <c:order val="5"/>
          <c:tx>
            <c:strRef>
              <c:f>Sheet1!$A$98</c:f>
              <c:strCache>
                <c:ptCount val="1"/>
                <c:pt idx="0">
                  <c:v>Real Losses (valued at Var. Prod. Cost)</c:v>
                </c:pt>
              </c:strCache>
            </c:strRef>
          </c:tx>
          <c:spPr>
            <a:solidFill>
              <a:srgbClr val="FF6600"/>
            </a:solidFill>
            <a:effectLst/>
          </c:spPr>
          <c:invertIfNegative val="0"/>
          <c:val>
            <c:numRef>
              <c:f>Sheet1!$E$98</c:f>
              <c:numCache>
                <c:formatCode>0.0</c:formatCode>
                <c:ptCount val="1"/>
                <c:pt idx="0">
                  <c:v>8197.2593419838431</c:v>
                </c:pt>
              </c:numCache>
            </c:numRef>
          </c:val>
        </c:ser>
        <c:dLbls>
          <c:showLegendKey val="0"/>
          <c:showVal val="0"/>
          <c:showCatName val="0"/>
          <c:showSerName val="0"/>
          <c:showPercent val="0"/>
          <c:showBubbleSize val="0"/>
        </c:dLbls>
        <c:gapWidth val="48"/>
        <c:axId val="157996720"/>
        <c:axId val="157995936"/>
      </c:barChart>
      <c:catAx>
        <c:axId val="157996720"/>
        <c:scaling>
          <c:orientation val="minMax"/>
        </c:scaling>
        <c:delete val="1"/>
        <c:axPos val="b"/>
        <c:majorTickMark val="out"/>
        <c:minorTickMark val="none"/>
        <c:tickLblPos val="nextTo"/>
        <c:crossAx val="157995936"/>
        <c:crosses val="autoZero"/>
        <c:auto val="1"/>
        <c:lblAlgn val="ctr"/>
        <c:lblOffset val="100"/>
        <c:noMultiLvlLbl val="0"/>
      </c:catAx>
      <c:valAx>
        <c:axId val="157995936"/>
        <c:scaling>
          <c:orientation val="minMax"/>
        </c:scaling>
        <c:delete val="0"/>
        <c:axPos val="l"/>
        <c:majorGridlines/>
        <c:title>
          <c:tx>
            <c:strRef>
              <c:f>Sheet1!$E$80</c:f>
              <c:strCache>
                <c:ptCount val="1"/>
                <c:pt idx="0">
                  <c:v>          Cost $</c:v>
                </c:pt>
              </c:strCache>
            </c:strRef>
          </c:tx>
          <c:layout>
            <c:manualLayout>
              <c:xMode val="edge"/>
              <c:yMode val="edge"/>
              <c:x val="4.0297509728174051E-3"/>
              <c:y val="0.26987944927936641"/>
            </c:manualLayout>
          </c:layout>
          <c:overlay val="0"/>
          <c:txPr>
            <a:bodyPr/>
            <a:lstStyle/>
            <a:p>
              <a:pPr>
                <a:defRPr sz="1200" b="0" i="0" u="none" strike="noStrike" baseline="0">
                  <a:solidFill>
                    <a:srgbClr val="000000"/>
                  </a:solidFill>
                  <a:latin typeface="Calibri"/>
                  <a:ea typeface="Calibri"/>
                  <a:cs typeface="Calibri"/>
                </a:defRPr>
              </a:pPr>
              <a:endParaRPr lang="en-US"/>
            </a:p>
          </c:tx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7996720"/>
        <c:crosses val="autoZero"/>
        <c:crossBetween val="between"/>
      </c:valAx>
      <c:spPr>
        <a:noFill/>
        <a:ln w="25400">
          <a:noFill/>
        </a:ln>
      </c:spPr>
    </c:plotArea>
    <c:legend>
      <c:legendPos val="r"/>
      <c:layout>
        <c:manualLayout>
          <c:xMode val="edge"/>
          <c:yMode val="edge"/>
          <c:x val="0.63742872072802659"/>
          <c:y val="0.22324723247232472"/>
          <c:w val="0.3508781948961614"/>
          <c:h val="0.5405904059040590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11982174103237095"/>
          <c:y val="2.7713207547169813E-2"/>
          <c:w val="0.74162346894138231"/>
          <c:h val="0.66726792452830186"/>
        </c:manualLayout>
      </c:layout>
      <c:barChart>
        <c:barDir val="col"/>
        <c:grouping val="percentStacked"/>
        <c:varyColors val="0"/>
        <c:ser>
          <c:idx val="1"/>
          <c:order val="0"/>
          <c:tx>
            <c:strRef>
              <c:f>'Water Balance'!$J$18</c:f>
              <c:strCache>
                <c:ptCount val="1"/>
                <c:pt idx="0">
                  <c:v>Water Losses</c:v>
                </c:pt>
              </c:strCache>
            </c:strRef>
          </c:tx>
          <c:spPr>
            <a:solidFill>
              <a:srgbClr val="FFC000"/>
            </a:solidFill>
          </c:spPr>
          <c:invertIfNegative val="0"/>
          <c:val>
            <c:numRef>
              <c:f>'Water Balance'!$M$18</c:f>
              <c:numCache>
                <c:formatCode>0</c:formatCode>
                <c:ptCount val="1"/>
                <c:pt idx="0">
                  <c:v>43.426800000000071</c:v>
                </c:pt>
              </c:numCache>
            </c:numRef>
          </c:val>
        </c:ser>
        <c:ser>
          <c:idx val="0"/>
          <c:order val="1"/>
          <c:tx>
            <c:strRef>
              <c:f>'Water Balance'!$J$17</c:f>
              <c:strCache>
                <c:ptCount val="1"/>
                <c:pt idx="0">
                  <c:v>Authorized Consumption</c:v>
                </c:pt>
              </c:strCache>
            </c:strRef>
          </c:tx>
          <c:spPr>
            <a:solidFill>
              <a:schemeClr val="accent3">
                <a:lumMod val="60000"/>
                <a:lumOff val="40000"/>
              </a:schemeClr>
            </a:solidFill>
          </c:spPr>
          <c:invertIfNegative val="0"/>
          <c:val>
            <c:numRef>
              <c:f>'Water Balance'!$M$17</c:f>
              <c:numCache>
                <c:formatCode>0</c:formatCode>
                <c:ptCount val="1"/>
                <c:pt idx="0">
                  <c:v>757.45319999999992</c:v>
                </c:pt>
              </c:numCache>
            </c:numRef>
          </c:val>
        </c:ser>
        <c:ser>
          <c:idx val="2"/>
          <c:order val="2"/>
          <c:tx>
            <c:strRef>
              <c:f>'Water Balance'!$J$15</c:f>
              <c:strCache>
                <c:ptCount val="1"/>
                <c:pt idx="0">
                  <c:v>Water Exported</c:v>
                </c:pt>
              </c:strCache>
            </c:strRef>
          </c:tx>
          <c:spPr>
            <a:pattFill prst="dkDnDiag">
              <a:fgClr>
                <a:schemeClr val="bg1">
                  <a:lumMod val="85000"/>
                </a:schemeClr>
              </a:fgClr>
              <a:bgClr>
                <a:schemeClr val="bg1"/>
              </a:bgClr>
            </a:pattFill>
          </c:spPr>
          <c:invertIfNegative val="0"/>
          <c:val>
            <c:numRef>
              <c:f>'Water Balance'!$M$15</c:f>
              <c:numCache>
                <c:formatCode>0</c:formatCode>
                <c:ptCount val="1"/>
                <c:pt idx="0">
                  <c:v>79.239000000000004</c:v>
                </c:pt>
              </c:numCache>
            </c:numRef>
          </c:val>
        </c:ser>
        <c:dLbls>
          <c:showLegendKey val="0"/>
          <c:showVal val="0"/>
          <c:showCatName val="0"/>
          <c:showSerName val="0"/>
          <c:showPercent val="0"/>
          <c:showBubbleSize val="0"/>
        </c:dLbls>
        <c:gapWidth val="10"/>
        <c:overlap val="100"/>
        <c:axId val="478446128"/>
        <c:axId val="478440248"/>
      </c:barChart>
      <c:catAx>
        <c:axId val="478446128"/>
        <c:scaling>
          <c:orientation val="minMax"/>
        </c:scaling>
        <c:delete val="1"/>
        <c:axPos val="b"/>
        <c:majorTickMark val="out"/>
        <c:minorTickMark val="none"/>
        <c:tickLblPos val="nextTo"/>
        <c:crossAx val="478440248"/>
        <c:crosses val="autoZero"/>
        <c:auto val="1"/>
        <c:lblAlgn val="ctr"/>
        <c:lblOffset val="100"/>
        <c:noMultiLvlLbl val="0"/>
      </c:catAx>
      <c:valAx>
        <c:axId val="478440248"/>
        <c:scaling>
          <c:orientation val="minMax"/>
        </c:scaling>
        <c:delete val="1"/>
        <c:axPos val="l"/>
        <c:majorGridlines/>
        <c:numFmt formatCode="0%" sourceLinked="1"/>
        <c:majorTickMark val="out"/>
        <c:minorTickMark val="none"/>
        <c:tickLblPos val="nextTo"/>
        <c:crossAx val="478446128"/>
        <c:crosses val="autoZero"/>
        <c:crossBetween val="between"/>
      </c:valAx>
      <c:spPr>
        <a:noFill/>
        <a:ln w="25400">
          <a:noFill/>
        </a:ln>
      </c:spPr>
    </c:plotArea>
    <c:legend>
      <c:legendPos val="r"/>
      <c:layout>
        <c:manualLayout>
          <c:xMode val="edge"/>
          <c:yMode val="edge"/>
          <c:x val="0.6149748678112148"/>
          <c:y val="0.3253237686682004"/>
          <c:w val="0.35828970559435996"/>
          <c:h val="0.34750493471375954"/>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10990813648294"/>
          <c:y val="2.7971079086812255E-2"/>
          <c:w val="0.76989009186351709"/>
          <c:h val="0.66675204278710432"/>
        </c:manualLayout>
      </c:layout>
      <c:barChart>
        <c:barDir val="col"/>
        <c:grouping val="percentStacked"/>
        <c:varyColors val="0"/>
        <c:ser>
          <c:idx val="0"/>
          <c:order val="0"/>
          <c:tx>
            <c:strRef>
              <c:f>'Water Balance'!$J$13</c:f>
              <c:strCache>
                <c:ptCount val="1"/>
                <c:pt idx="0">
                  <c:v>Volume From Own Sources</c:v>
                </c:pt>
              </c:strCache>
            </c:strRef>
          </c:tx>
          <c:invertIfNegative val="0"/>
          <c:dPt>
            <c:idx val="0"/>
            <c:invertIfNegative val="0"/>
            <c:bubble3D val="0"/>
            <c:spPr>
              <a:solidFill>
                <a:schemeClr val="tx2">
                  <a:lumMod val="60000"/>
                  <a:lumOff val="40000"/>
                </a:schemeClr>
              </a:solidFill>
            </c:spPr>
          </c:dPt>
          <c:val>
            <c:numRef>
              <c:f>'Water Balance'!$K$13</c:f>
              <c:numCache>
                <c:formatCode>0</c:formatCode>
                <c:ptCount val="1"/>
                <c:pt idx="0">
                  <c:v>758.5</c:v>
                </c:pt>
              </c:numCache>
            </c:numRef>
          </c:val>
        </c:ser>
        <c:ser>
          <c:idx val="1"/>
          <c:order val="1"/>
          <c:tx>
            <c:strRef>
              <c:f>'Water Balance'!$J$14</c:f>
              <c:strCache>
                <c:ptCount val="1"/>
                <c:pt idx="0">
                  <c:v>Water Imported</c:v>
                </c:pt>
              </c:strCache>
            </c:strRef>
          </c:tx>
          <c:spPr>
            <a:solidFill>
              <a:schemeClr val="tx2">
                <a:lumMod val="20000"/>
                <a:lumOff val="80000"/>
              </a:schemeClr>
            </a:solidFill>
          </c:spPr>
          <c:invertIfNegative val="0"/>
          <c:val>
            <c:numRef>
              <c:f>'Water Balance'!$K$14</c:f>
              <c:numCache>
                <c:formatCode>0</c:formatCode>
                <c:ptCount val="1"/>
                <c:pt idx="0">
                  <c:v>121.619</c:v>
                </c:pt>
              </c:numCache>
            </c:numRef>
          </c:val>
        </c:ser>
        <c:ser>
          <c:idx val="2"/>
          <c:order val="2"/>
          <c:tx>
            <c:strRef>
              <c:f>'Water Balance'!$J$15</c:f>
              <c:strCache>
                <c:ptCount val="1"/>
                <c:pt idx="0">
                  <c:v>Water Exported</c:v>
                </c:pt>
              </c:strCache>
            </c:strRef>
          </c:tx>
          <c:spPr>
            <a:pattFill prst="dkDnDiag">
              <a:fgClr>
                <a:schemeClr val="bg1">
                  <a:lumMod val="85000"/>
                </a:schemeClr>
              </a:fgClr>
              <a:bgClr>
                <a:schemeClr val="bg1"/>
              </a:bgClr>
            </a:pattFill>
          </c:spPr>
          <c:invertIfNegative val="0"/>
          <c:val>
            <c:numRef>
              <c:f>'Water Balance'!$K$15</c:f>
              <c:numCache>
                <c:formatCode>0</c:formatCode>
                <c:ptCount val="1"/>
                <c:pt idx="0">
                  <c:v>79.239000000000004</c:v>
                </c:pt>
              </c:numCache>
            </c:numRef>
          </c:val>
        </c:ser>
        <c:dLbls>
          <c:showLegendKey val="0"/>
          <c:showVal val="0"/>
          <c:showCatName val="0"/>
          <c:showSerName val="0"/>
          <c:showPercent val="0"/>
          <c:showBubbleSize val="0"/>
        </c:dLbls>
        <c:gapWidth val="10"/>
        <c:overlap val="100"/>
        <c:axId val="478443776"/>
        <c:axId val="478440640"/>
      </c:barChart>
      <c:catAx>
        <c:axId val="478443776"/>
        <c:scaling>
          <c:orientation val="minMax"/>
        </c:scaling>
        <c:delete val="1"/>
        <c:axPos val="t"/>
        <c:majorTickMark val="out"/>
        <c:minorTickMark val="none"/>
        <c:tickLblPos val="nextTo"/>
        <c:crossAx val="478440640"/>
        <c:crosses val="max"/>
        <c:auto val="1"/>
        <c:lblAlgn val="ctr"/>
        <c:lblOffset val="100"/>
        <c:noMultiLvlLbl val="0"/>
      </c:catAx>
      <c:valAx>
        <c:axId val="478440640"/>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8443776"/>
        <c:crosses val="autoZero"/>
        <c:crossBetween val="between"/>
      </c:valAx>
      <c:spPr>
        <a:noFill/>
        <a:ln w="25400">
          <a:noFill/>
        </a:ln>
      </c:spPr>
    </c:plotArea>
    <c:legend>
      <c:legendPos val="r"/>
      <c:layout>
        <c:manualLayout>
          <c:xMode val="edge"/>
          <c:yMode val="edge"/>
          <c:x val="0.62365918839879664"/>
          <c:y val="0.3253237686682004"/>
          <c:w val="0.30107684957183284"/>
          <c:h val="0.34750493471375954"/>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8204286964129477E-2"/>
          <c:y val="2.7713207547169813E-2"/>
          <c:w val="0.80068460192475943"/>
          <c:h val="0.66726792452830186"/>
        </c:manualLayout>
      </c:layout>
      <c:barChart>
        <c:barDir val="col"/>
        <c:grouping val="percentStacked"/>
        <c:varyColors val="0"/>
        <c:ser>
          <c:idx val="3"/>
          <c:order val="0"/>
          <c:tx>
            <c:strRef>
              <c:f>'Water Balance'!$J$22</c:f>
              <c:strCache>
                <c:ptCount val="1"/>
                <c:pt idx="0">
                  <c:v>Real Losses</c:v>
                </c:pt>
              </c:strCache>
            </c:strRef>
          </c:tx>
          <c:spPr>
            <a:solidFill>
              <a:srgbClr val="FF6600"/>
            </a:solidFill>
          </c:spPr>
          <c:invertIfNegative val="0"/>
          <c:val>
            <c:numRef>
              <c:f>'Water Balance'!$N$22</c:f>
              <c:numCache>
                <c:formatCode>0</c:formatCode>
                <c:ptCount val="1"/>
                <c:pt idx="0">
                  <c:v>32.000543964646482</c:v>
                </c:pt>
              </c:numCache>
            </c:numRef>
          </c:val>
        </c:ser>
        <c:ser>
          <c:idx val="2"/>
          <c:order val="1"/>
          <c:tx>
            <c:strRef>
              <c:f>'Water Balance'!$J$21</c:f>
              <c:strCache>
                <c:ptCount val="1"/>
                <c:pt idx="0">
                  <c:v>Apparent Losses</c:v>
                </c:pt>
              </c:strCache>
            </c:strRef>
          </c:tx>
          <c:spPr>
            <a:solidFill>
              <a:schemeClr val="accent2">
                <a:lumMod val="60000"/>
                <a:lumOff val="40000"/>
              </a:schemeClr>
            </a:solidFill>
          </c:spPr>
          <c:invertIfNegative val="0"/>
          <c:val>
            <c:numRef>
              <c:f>'Water Balance'!$N$21</c:f>
              <c:numCache>
                <c:formatCode>0</c:formatCode>
                <c:ptCount val="1"/>
                <c:pt idx="0">
                  <c:v>11.426256035353585</c:v>
                </c:pt>
              </c:numCache>
            </c:numRef>
          </c:val>
        </c:ser>
        <c:ser>
          <c:idx val="1"/>
          <c:order val="2"/>
          <c:tx>
            <c:strRef>
              <c:f>'Water Balance'!$J$20</c:f>
              <c:strCache>
                <c:ptCount val="1"/>
                <c:pt idx="0">
                  <c:v>Unbilled Auth. Cons.</c:v>
                </c:pt>
              </c:strCache>
            </c:strRef>
          </c:tx>
          <c:spPr>
            <a:solidFill>
              <a:schemeClr val="accent6">
                <a:lumMod val="60000"/>
                <a:lumOff val="40000"/>
              </a:schemeClr>
            </a:solidFill>
          </c:spPr>
          <c:invertIfNegative val="0"/>
          <c:val>
            <c:numRef>
              <c:f>'Water Balance'!$N$20</c:f>
              <c:numCache>
                <c:formatCode>0</c:formatCode>
                <c:ptCount val="1"/>
                <c:pt idx="0">
                  <c:v>9.5722000000000005</c:v>
                </c:pt>
              </c:numCache>
            </c:numRef>
          </c:val>
        </c:ser>
        <c:ser>
          <c:idx val="0"/>
          <c:order val="3"/>
          <c:tx>
            <c:strRef>
              <c:f>'Water Balance'!$J$19</c:f>
              <c:strCache>
                <c:ptCount val="1"/>
                <c:pt idx="0">
                  <c:v>Billed Auth. Cons.</c:v>
                </c:pt>
              </c:strCache>
            </c:strRef>
          </c:tx>
          <c:spPr>
            <a:solidFill>
              <a:srgbClr val="92D050"/>
            </a:solidFill>
          </c:spPr>
          <c:invertIfNegative val="0"/>
          <c:val>
            <c:numRef>
              <c:f>'Water Balance'!$N$19</c:f>
              <c:numCache>
                <c:formatCode>0</c:formatCode>
                <c:ptCount val="1"/>
                <c:pt idx="0">
                  <c:v>747.88099999999997</c:v>
                </c:pt>
              </c:numCache>
            </c:numRef>
          </c:val>
        </c:ser>
        <c:ser>
          <c:idx val="4"/>
          <c:order val="4"/>
          <c:tx>
            <c:strRef>
              <c:f>'Water Balance'!$J$15</c:f>
              <c:strCache>
                <c:ptCount val="1"/>
                <c:pt idx="0">
                  <c:v>Water Exported</c:v>
                </c:pt>
              </c:strCache>
            </c:strRef>
          </c:tx>
          <c:spPr>
            <a:pattFill prst="dkDnDiag">
              <a:fgClr>
                <a:schemeClr val="bg1">
                  <a:lumMod val="85000"/>
                </a:schemeClr>
              </a:fgClr>
              <a:bgClr>
                <a:schemeClr val="bg1"/>
              </a:bgClr>
            </a:pattFill>
          </c:spPr>
          <c:invertIfNegative val="0"/>
          <c:val>
            <c:numRef>
              <c:f>'Water Balance'!$N$15</c:f>
              <c:numCache>
                <c:formatCode>0</c:formatCode>
                <c:ptCount val="1"/>
                <c:pt idx="0">
                  <c:v>79.239000000000004</c:v>
                </c:pt>
              </c:numCache>
            </c:numRef>
          </c:val>
        </c:ser>
        <c:dLbls>
          <c:showLegendKey val="0"/>
          <c:showVal val="0"/>
          <c:showCatName val="0"/>
          <c:showSerName val="0"/>
          <c:showPercent val="0"/>
          <c:showBubbleSize val="0"/>
        </c:dLbls>
        <c:gapWidth val="10"/>
        <c:overlap val="100"/>
        <c:axId val="478443384"/>
        <c:axId val="478441816"/>
      </c:barChart>
      <c:catAx>
        <c:axId val="478443384"/>
        <c:scaling>
          <c:orientation val="minMax"/>
        </c:scaling>
        <c:delete val="1"/>
        <c:axPos val="b"/>
        <c:majorTickMark val="out"/>
        <c:minorTickMark val="none"/>
        <c:tickLblPos val="nextTo"/>
        <c:crossAx val="478441816"/>
        <c:crosses val="autoZero"/>
        <c:auto val="1"/>
        <c:lblAlgn val="ctr"/>
        <c:lblOffset val="100"/>
        <c:noMultiLvlLbl val="0"/>
      </c:catAx>
      <c:valAx>
        <c:axId val="478441816"/>
        <c:scaling>
          <c:orientation val="minMax"/>
        </c:scaling>
        <c:delete val="1"/>
        <c:axPos val="l"/>
        <c:majorGridlines/>
        <c:numFmt formatCode="0%" sourceLinked="1"/>
        <c:majorTickMark val="out"/>
        <c:minorTickMark val="none"/>
        <c:tickLblPos val="nextTo"/>
        <c:crossAx val="478443384"/>
        <c:crosses val="autoZero"/>
        <c:crossBetween val="between"/>
      </c:valAx>
      <c:spPr>
        <a:noFill/>
        <a:ln w="25400">
          <a:noFill/>
        </a:ln>
      </c:spPr>
    </c:plotArea>
    <c:legend>
      <c:legendPos val="r"/>
      <c:layout>
        <c:manualLayout>
          <c:xMode val="edge"/>
          <c:yMode val="edge"/>
          <c:x val="0.58602458220231746"/>
          <c:y val="0.33456592118718337"/>
          <c:w val="0.39247517890613925"/>
          <c:h val="0.3271721991719970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1259842519685044E-2"/>
          <c:y val="2.7713207547169813E-2"/>
          <c:w val="0.80485892388451441"/>
          <c:h val="0.66726792452830186"/>
        </c:manualLayout>
      </c:layout>
      <c:barChart>
        <c:barDir val="col"/>
        <c:grouping val="percentStacked"/>
        <c:varyColors val="0"/>
        <c:ser>
          <c:idx val="1"/>
          <c:order val="0"/>
          <c:tx>
            <c:strRef>
              <c:f>'Water Balance'!$J$24</c:f>
              <c:strCache>
                <c:ptCount val="1"/>
                <c:pt idx="0">
                  <c:v>Non Revenue Water</c:v>
                </c:pt>
              </c:strCache>
            </c:strRef>
          </c:tx>
          <c:spPr>
            <a:solidFill>
              <a:srgbClr val="FF0000"/>
            </a:solidFill>
          </c:spPr>
          <c:invertIfNegative val="0"/>
          <c:val>
            <c:numRef>
              <c:f>'Water Balance'!$O$24</c:f>
              <c:numCache>
                <c:formatCode>0</c:formatCode>
                <c:ptCount val="1"/>
                <c:pt idx="0">
                  <c:v>52.999000000000066</c:v>
                </c:pt>
              </c:numCache>
            </c:numRef>
          </c:val>
        </c:ser>
        <c:ser>
          <c:idx val="0"/>
          <c:order val="1"/>
          <c:tx>
            <c:strRef>
              <c:f>'Water Balance'!$J$23</c:f>
              <c:strCache>
                <c:ptCount val="1"/>
                <c:pt idx="0">
                  <c:v>Revenue Water</c:v>
                </c:pt>
              </c:strCache>
            </c:strRef>
          </c:tx>
          <c:spPr>
            <a:solidFill>
              <a:srgbClr val="00B050"/>
            </a:solidFill>
          </c:spPr>
          <c:invertIfNegative val="0"/>
          <c:val>
            <c:numRef>
              <c:f>'Water Balance'!$O$23</c:f>
              <c:numCache>
                <c:formatCode>0</c:formatCode>
                <c:ptCount val="1"/>
                <c:pt idx="0">
                  <c:v>747.88099999999997</c:v>
                </c:pt>
              </c:numCache>
            </c:numRef>
          </c:val>
        </c:ser>
        <c:ser>
          <c:idx val="2"/>
          <c:order val="2"/>
          <c:tx>
            <c:strRef>
              <c:f>'Water Balance'!$J$15</c:f>
              <c:strCache>
                <c:ptCount val="1"/>
                <c:pt idx="0">
                  <c:v>Water Exported</c:v>
                </c:pt>
              </c:strCache>
            </c:strRef>
          </c:tx>
          <c:spPr>
            <a:pattFill prst="dkDnDiag">
              <a:fgClr>
                <a:schemeClr val="bg1">
                  <a:lumMod val="85000"/>
                </a:schemeClr>
              </a:fgClr>
              <a:bgClr>
                <a:schemeClr val="bg1"/>
              </a:bgClr>
            </a:pattFill>
          </c:spPr>
          <c:invertIfNegative val="0"/>
          <c:val>
            <c:numRef>
              <c:f>'Water Balance'!$O$15</c:f>
              <c:numCache>
                <c:formatCode>0</c:formatCode>
                <c:ptCount val="1"/>
                <c:pt idx="0">
                  <c:v>79.239000000000004</c:v>
                </c:pt>
              </c:numCache>
            </c:numRef>
          </c:val>
        </c:ser>
        <c:dLbls>
          <c:showLegendKey val="0"/>
          <c:showVal val="0"/>
          <c:showCatName val="0"/>
          <c:showSerName val="0"/>
          <c:showPercent val="0"/>
          <c:showBubbleSize val="0"/>
        </c:dLbls>
        <c:gapWidth val="10"/>
        <c:overlap val="100"/>
        <c:axId val="478442600"/>
        <c:axId val="478446520"/>
      </c:barChart>
      <c:catAx>
        <c:axId val="478442600"/>
        <c:scaling>
          <c:orientation val="minMax"/>
        </c:scaling>
        <c:delete val="1"/>
        <c:axPos val="b"/>
        <c:majorTickMark val="out"/>
        <c:minorTickMark val="none"/>
        <c:tickLblPos val="nextTo"/>
        <c:crossAx val="478446520"/>
        <c:crosses val="autoZero"/>
        <c:auto val="1"/>
        <c:lblAlgn val="ctr"/>
        <c:lblOffset val="100"/>
        <c:noMultiLvlLbl val="0"/>
      </c:catAx>
      <c:valAx>
        <c:axId val="478446520"/>
        <c:scaling>
          <c:orientation val="minMax"/>
        </c:scaling>
        <c:delete val="1"/>
        <c:axPos val="l"/>
        <c:majorGridlines/>
        <c:numFmt formatCode="0%" sourceLinked="1"/>
        <c:majorTickMark val="out"/>
        <c:minorTickMark val="none"/>
        <c:tickLblPos val="nextTo"/>
        <c:crossAx val="478442600"/>
        <c:crosses val="autoZero"/>
        <c:crossBetween val="between"/>
      </c:valAx>
      <c:spPr>
        <a:noFill/>
        <a:ln w="25400">
          <a:noFill/>
        </a:ln>
      </c:spPr>
    </c:plotArea>
    <c:legend>
      <c:legendPos val="r"/>
      <c:layout>
        <c:manualLayout>
          <c:xMode val="edge"/>
          <c:yMode val="edge"/>
          <c:x val="0.65240812063450615"/>
          <c:y val="0.36414080924792885"/>
          <c:w val="0.32620406031725308"/>
          <c:h val="0.2735677145618957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7.7017373988344268E-2"/>
          <c:y val="2.7713207547169813E-2"/>
          <c:w val="0.84975184366455359"/>
          <c:h val="0.66726792452830186"/>
        </c:manualLayout>
      </c:layout>
      <c:barChart>
        <c:barDir val="col"/>
        <c:grouping val="percentStacked"/>
        <c:varyColors val="0"/>
        <c:ser>
          <c:idx val="0"/>
          <c:order val="0"/>
          <c:tx>
            <c:strRef>
              <c:f>'Water Balance'!$J$16</c:f>
              <c:strCache>
                <c:ptCount val="1"/>
                <c:pt idx="0">
                  <c:v>Water Supplied</c:v>
                </c:pt>
              </c:strCache>
            </c:strRef>
          </c:tx>
          <c:spPr>
            <a:solidFill>
              <a:schemeClr val="accent3">
                <a:lumMod val="40000"/>
                <a:lumOff val="60000"/>
              </a:schemeClr>
            </a:solidFill>
          </c:spPr>
          <c:invertIfNegative val="0"/>
          <c:val>
            <c:numRef>
              <c:f>'Water Balance'!$L$16</c:f>
              <c:numCache>
                <c:formatCode>0</c:formatCode>
                <c:ptCount val="1"/>
                <c:pt idx="0">
                  <c:v>800.88</c:v>
                </c:pt>
              </c:numCache>
            </c:numRef>
          </c:val>
        </c:ser>
        <c:ser>
          <c:idx val="1"/>
          <c:order val="1"/>
          <c:tx>
            <c:strRef>
              <c:f>'Water Balance'!$J$15</c:f>
              <c:strCache>
                <c:ptCount val="1"/>
                <c:pt idx="0">
                  <c:v>Water Exported</c:v>
                </c:pt>
              </c:strCache>
            </c:strRef>
          </c:tx>
          <c:spPr>
            <a:pattFill prst="dkDnDiag">
              <a:fgClr>
                <a:schemeClr val="bg1">
                  <a:lumMod val="85000"/>
                </a:schemeClr>
              </a:fgClr>
              <a:bgClr>
                <a:schemeClr val="bg1"/>
              </a:bgClr>
            </a:pattFill>
          </c:spPr>
          <c:invertIfNegative val="0"/>
          <c:val>
            <c:numRef>
              <c:f>'Water Balance'!$L$15</c:f>
              <c:numCache>
                <c:formatCode>0</c:formatCode>
                <c:ptCount val="1"/>
                <c:pt idx="0">
                  <c:v>79.239000000000004</c:v>
                </c:pt>
              </c:numCache>
            </c:numRef>
          </c:val>
        </c:ser>
        <c:dLbls>
          <c:showLegendKey val="0"/>
          <c:showVal val="0"/>
          <c:showCatName val="0"/>
          <c:showSerName val="0"/>
          <c:showPercent val="0"/>
          <c:showBubbleSize val="0"/>
        </c:dLbls>
        <c:gapWidth val="10"/>
        <c:overlap val="100"/>
        <c:axId val="478447304"/>
        <c:axId val="478441032"/>
      </c:barChart>
      <c:catAx>
        <c:axId val="478447304"/>
        <c:scaling>
          <c:orientation val="minMax"/>
        </c:scaling>
        <c:delete val="1"/>
        <c:axPos val="b"/>
        <c:majorTickMark val="out"/>
        <c:minorTickMark val="none"/>
        <c:tickLblPos val="nextTo"/>
        <c:crossAx val="478441032"/>
        <c:crosses val="autoZero"/>
        <c:auto val="1"/>
        <c:lblAlgn val="ctr"/>
        <c:lblOffset val="100"/>
        <c:noMultiLvlLbl val="0"/>
      </c:catAx>
      <c:valAx>
        <c:axId val="478441032"/>
        <c:scaling>
          <c:orientation val="minMax"/>
          <c:min val="0"/>
        </c:scaling>
        <c:delete val="1"/>
        <c:axPos val="l"/>
        <c:majorGridlines/>
        <c:numFmt formatCode="0%" sourceLinked="1"/>
        <c:majorTickMark val="out"/>
        <c:minorTickMark val="none"/>
        <c:tickLblPos val="nextTo"/>
        <c:crossAx val="478447304"/>
        <c:crosses val="autoZero"/>
        <c:crossBetween val="between"/>
      </c:valAx>
    </c:plotArea>
    <c:legend>
      <c:legendPos val="r"/>
      <c:layout>
        <c:manualLayout>
          <c:xMode val="edge"/>
          <c:yMode val="edge"/>
          <c:x val="0.61538639338246981"/>
          <c:y val="0.436229598895996"/>
          <c:w val="0.3609477884262563"/>
          <c:h val="0.12939013526576151"/>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checked="Checked" firstButton="1" fmlaLink="$R$17"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Performance Indicators'!$R$21" lockText="1" noThreeD="1"/>
</file>

<file path=xl/ctrlProps/ctrlProp13.xml><?xml version="1.0" encoding="utf-8"?>
<formControlPr xmlns="http://schemas.microsoft.com/office/spreadsheetml/2009/9/main" objectType="Radio" checked="Checked" firstButton="1" fmlaLink="$R$43"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R$26" lockText="1" noThreeD="1"/>
</file>

<file path=xl/ctrlProps/ctrlProp17.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firstButton="1" fmlaLink="$R$4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checked="Checked" firstButton="1" fmlaLink="$R$38"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firstButton="1" fmlaLink="$S$6" lockText="1" noThreeD="1"/>
</file>

<file path=xl/ctrlProps/ctrlProp25.xml><?xml version="1.0" encoding="utf-8"?>
<formControlPr xmlns="http://schemas.microsoft.com/office/spreadsheetml/2009/9/main" objectType="Radio" checked="Checked"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P$26" lockText="1" noThreeD="1"/>
</file>

<file path=xl/ctrlProps/ctrlProp28.xml><?xml version="1.0" encoding="utf-8"?>
<formControlPr xmlns="http://schemas.microsoft.com/office/spreadsheetml/2009/9/main" objectType="Radio" checked="Checked"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firstButton="1" fmlaLink="$P$42" lockText="1" noThreeD="1"/>
</file>

<file path=xl/ctrlProps/ctrlProp31.xml><?xml version="1.0" encoding="utf-8"?>
<formControlPr xmlns="http://schemas.microsoft.com/office/spreadsheetml/2009/9/main" objectType="Radio" checked="Checked" lockText="1"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Radio" firstButton="1" fmlaLink="$P$38" lockText="1" noThreeD="1"/>
</file>

<file path=xl/ctrlProps/ctrlProp34.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Radio" checked="Checked" firstButton="1" fmlaLink="$R$15"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R$16"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8" Type="http://schemas.openxmlformats.org/officeDocument/2006/relationships/hyperlink" Target="#Acknowledgements!A1"/><Relationship Id="rId3" Type="http://schemas.openxmlformats.org/officeDocument/2006/relationships/hyperlink" Target="#Comments!A1"/><Relationship Id="rId7" Type="http://schemas.openxmlformats.org/officeDocument/2006/relationships/hyperlink" Target="#'Service Connection Diagram'!A1"/><Relationship Id="rId12" Type="http://schemas.openxmlformats.org/officeDocument/2006/relationships/hyperlink" Target="#'Reporting Worksheet'!A1"/><Relationship Id="rId2" Type="http://schemas.openxmlformats.org/officeDocument/2006/relationships/hyperlink" Target="#'Performance Indicators'!A1"/><Relationship Id="rId1" Type="http://schemas.openxmlformats.org/officeDocument/2006/relationships/hyperlink" Target="#Instructions!A1"/><Relationship Id="rId6" Type="http://schemas.openxmlformats.org/officeDocument/2006/relationships/hyperlink" Target="#'Grading Matrix'!A1"/><Relationship Id="rId11" Type="http://schemas.openxmlformats.org/officeDocument/2006/relationships/hyperlink" Target="#'Example Audits'!A1"/><Relationship Id="rId5" Type="http://schemas.openxmlformats.org/officeDocument/2006/relationships/hyperlink" Target="#Dashboard!A1"/><Relationship Id="rId10" Type="http://schemas.openxmlformats.org/officeDocument/2006/relationships/hyperlink" Target="#Definitions!A1"/><Relationship Id="rId4" Type="http://schemas.openxmlformats.org/officeDocument/2006/relationships/hyperlink" Target="#'Water Balance'!A1"/><Relationship Id="rId9" Type="http://schemas.openxmlformats.org/officeDocument/2006/relationships/hyperlink" Target="#'Loss Control Planning'!A1"/></Relationships>
</file>

<file path=xl/drawings/_rels/drawing10.xml.rels><?xml version="1.0" encoding="UTF-8" standalone="yes"?>
<Relationships xmlns="http://schemas.openxmlformats.org/package/2006/relationships"><Relationship Id="rId8" Type="http://schemas.openxmlformats.org/officeDocument/2006/relationships/hyperlink" Target="#'Reporting Worksheet'!C23:G23"/><Relationship Id="rId13" Type="http://schemas.openxmlformats.org/officeDocument/2006/relationships/hyperlink" Target="#'Reporting Worksheet'!C62:G62"/><Relationship Id="rId18" Type="http://schemas.openxmlformats.org/officeDocument/2006/relationships/hyperlink" Target="#'Reporting Worksheet'!C43:G43"/><Relationship Id="rId26" Type="http://schemas.openxmlformats.org/officeDocument/2006/relationships/hyperlink" Target="#'Reporting Worksheet'!J15:O15"/><Relationship Id="rId3" Type="http://schemas.openxmlformats.org/officeDocument/2006/relationships/image" Target="../media/image11.png"/><Relationship Id="rId21" Type="http://schemas.openxmlformats.org/officeDocument/2006/relationships/hyperlink" Target="#'Performance Indicators'!C17:I17"/><Relationship Id="rId7" Type="http://schemas.openxmlformats.org/officeDocument/2006/relationships/hyperlink" Target="#'Reporting Worksheet'!C69:G69"/><Relationship Id="rId12" Type="http://schemas.openxmlformats.org/officeDocument/2006/relationships/hyperlink" Target="#'Performance Indicators'!C45:I45"/><Relationship Id="rId17" Type="http://schemas.openxmlformats.org/officeDocument/2006/relationships/hyperlink" Target="#'Reporting Worksheet'!C64:G64"/><Relationship Id="rId25" Type="http://schemas.openxmlformats.org/officeDocument/2006/relationships/hyperlink" Target="#'Reporting Worksheet'!C15:G15"/><Relationship Id="rId2" Type="http://schemas.openxmlformats.org/officeDocument/2006/relationships/image" Target="../media/image10.png"/><Relationship Id="rId16" Type="http://schemas.openxmlformats.org/officeDocument/2006/relationships/hyperlink" Target="#'Reporting Worksheet'!C51:G52"/><Relationship Id="rId20" Type="http://schemas.openxmlformats.org/officeDocument/2006/relationships/hyperlink" Target="#'Reporting Worksheet'!C38:G38"/><Relationship Id="rId29" Type="http://schemas.openxmlformats.org/officeDocument/2006/relationships/hyperlink" Target="#'Reporting Worksheet'!C16:G16"/><Relationship Id="rId1" Type="http://schemas.openxmlformats.org/officeDocument/2006/relationships/hyperlink" Target="#Instructions!A1"/><Relationship Id="rId6" Type="http://schemas.openxmlformats.org/officeDocument/2006/relationships/hyperlink" Target="#'Reporting Worksheet'!C67:G67"/><Relationship Id="rId11" Type="http://schemas.openxmlformats.org/officeDocument/2006/relationships/hyperlink" Target="#'Reporting Worksheet'!C77:G77"/><Relationship Id="rId24" Type="http://schemas.openxmlformats.org/officeDocument/2006/relationships/hyperlink" Target="#'Reporting Worksheet'!C78:G78"/><Relationship Id="rId5" Type="http://schemas.openxmlformats.org/officeDocument/2006/relationships/hyperlink" Target="#'Reporting Worksheet'!C22:O31"/><Relationship Id="rId15" Type="http://schemas.openxmlformats.org/officeDocument/2006/relationships/hyperlink" Target="#'Reporting Worksheet'!C63:G63"/><Relationship Id="rId23" Type="http://schemas.openxmlformats.org/officeDocument/2006/relationships/hyperlink" Target="#'Reporting Worksheet'!C26:G26"/><Relationship Id="rId28" Type="http://schemas.openxmlformats.org/officeDocument/2006/relationships/hyperlink" Target="#'Reporting Worksheet'!J17:O17"/><Relationship Id="rId10" Type="http://schemas.openxmlformats.org/officeDocument/2006/relationships/hyperlink" Target="#'Reporting Worksheet'!C42:G42"/><Relationship Id="rId19" Type="http://schemas.openxmlformats.org/officeDocument/2006/relationships/hyperlink" Target="#'Reporting Worksheet'!C76:G76"/><Relationship Id="rId31" Type="http://schemas.openxmlformats.org/officeDocument/2006/relationships/hyperlink" Target="#'Reporting Worksheet'!C35:G35"/><Relationship Id="rId4" Type="http://schemas.openxmlformats.org/officeDocument/2006/relationships/hyperlink" Target="#'Reporting Worksheet'!C37:O49"/><Relationship Id="rId9" Type="http://schemas.openxmlformats.org/officeDocument/2006/relationships/hyperlink" Target="#'Reporting Worksheet'!C24:G24"/><Relationship Id="rId14" Type="http://schemas.openxmlformats.org/officeDocument/2006/relationships/hyperlink" Target="#'Reporting Worksheet'!C58:G58"/><Relationship Id="rId22" Type="http://schemas.openxmlformats.org/officeDocument/2006/relationships/hyperlink" Target="#'Reporting Worksheet'!C25:G25"/><Relationship Id="rId27" Type="http://schemas.openxmlformats.org/officeDocument/2006/relationships/hyperlink" Target="#'Reporting Worksheet'!C17:G17"/><Relationship Id="rId30" Type="http://schemas.openxmlformats.org/officeDocument/2006/relationships/hyperlink" Target="#'Reporting Worksheet'!J16:O16"/></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8" Type="http://schemas.openxmlformats.org/officeDocument/2006/relationships/hyperlink" Target="#'Example Audits'!A119"/><Relationship Id="rId3" Type="http://schemas.openxmlformats.org/officeDocument/2006/relationships/hyperlink" Target="#Instructions!A1"/><Relationship Id="rId7" Type="http://schemas.openxmlformats.org/officeDocument/2006/relationships/hyperlink" Target="#'Example Audits'!A3"/><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7.emf"/><Relationship Id="rId5" Type="http://schemas.openxmlformats.org/officeDocument/2006/relationships/image" Target="../media/image16.emf"/><Relationship Id="rId10" Type="http://schemas.openxmlformats.org/officeDocument/2006/relationships/hyperlink" Target="#'Example Audits'!A272"/><Relationship Id="rId4" Type="http://schemas.openxmlformats.org/officeDocument/2006/relationships/image" Target="../media/image15.png"/><Relationship Id="rId9" Type="http://schemas.openxmlformats.org/officeDocument/2006/relationships/hyperlink" Target="#'Example Audits'!A188"/></Relationships>
</file>

<file path=xl/drawings/_rels/drawing13.xml.rels><?xml version="1.0" encoding="UTF-8" standalone="yes"?>
<Relationships xmlns="http://schemas.openxmlformats.org/package/2006/relationships"><Relationship Id="rId8" Type="http://schemas.openxmlformats.org/officeDocument/2006/relationships/hyperlink" Target="#Definitions!C40:J40"/><Relationship Id="rId13" Type="http://schemas.openxmlformats.org/officeDocument/2006/relationships/hyperlink" Target="#Definitions!C63:J63"/><Relationship Id="rId18" Type="http://schemas.openxmlformats.org/officeDocument/2006/relationships/hyperlink" Target="#Definitions!C67:J67"/><Relationship Id="rId26" Type="http://schemas.openxmlformats.org/officeDocument/2006/relationships/hyperlink" Target="#Definitions!C32:J32"/><Relationship Id="rId3" Type="http://schemas.openxmlformats.org/officeDocument/2006/relationships/hyperlink" Target="#Definitions!C53:J53"/><Relationship Id="rId21" Type="http://schemas.openxmlformats.org/officeDocument/2006/relationships/hyperlink" Target="#Definitions!C42:J42"/><Relationship Id="rId7" Type="http://schemas.openxmlformats.org/officeDocument/2006/relationships/hyperlink" Target="#Definitions!C28:J28"/><Relationship Id="rId12" Type="http://schemas.openxmlformats.org/officeDocument/2006/relationships/hyperlink" Target="#Instructions!A1"/><Relationship Id="rId17" Type="http://schemas.openxmlformats.org/officeDocument/2006/relationships/hyperlink" Target="#Definitions!C69:J69"/><Relationship Id="rId25" Type="http://schemas.openxmlformats.org/officeDocument/2006/relationships/hyperlink" Target="#Definitions!C8:J8"/><Relationship Id="rId2" Type="http://schemas.openxmlformats.org/officeDocument/2006/relationships/hyperlink" Target="#Definitions!C18:J18"/><Relationship Id="rId16" Type="http://schemas.openxmlformats.org/officeDocument/2006/relationships/hyperlink" Target="#Definitions!C30:J30"/><Relationship Id="rId20" Type="http://schemas.openxmlformats.org/officeDocument/2006/relationships/hyperlink" Target="#Definitions!C24:J24"/><Relationship Id="rId1" Type="http://schemas.openxmlformats.org/officeDocument/2006/relationships/hyperlink" Target="#Definitions!C16:J16"/><Relationship Id="rId6" Type="http://schemas.openxmlformats.org/officeDocument/2006/relationships/hyperlink" Target="#Definitions!C34:J34"/><Relationship Id="rId11" Type="http://schemas.openxmlformats.org/officeDocument/2006/relationships/hyperlink" Target="#Definitions!C12:J12"/><Relationship Id="rId24" Type="http://schemas.openxmlformats.org/officeDocument/2006/relationships/hyperlink" Target="#Definitions!C36:J36"/><Relationship Id="rId5" Type="http://schemas.openxmlformats.org/officeDocument/2006/relationships/hyperlink" Target="#Definitions!C51:J51"/><Relationship Id="rId15" Type="http://schemas.openxmlformats.org/officeDocument/2006/relationships/hyperlink" Target="#Definitions!C26:J26"/><Relationship Id="rId23" Type="http://schemas.openxmlformats.org/officeDocument/2006/relationships/hyperlink" Target="#'Grading Matrix'!A1"/><Relationship Id="rId10" Type="http://schemas.openxmlformats.org/officeDocument/2006/relationships/hyperlink" Target="#'Service Connection Diagram'!B2"/><Relationship Id="rId19" Type="http://schemas.openxmlformats.org/officeDocument/2006/relationships/hyperlink" Target="#Definitions!C44:J44"/><Relationship Id="rId4" Type="http://schemas.openxmlformats.org/officeDocument/2006/relationships/hyperlink" Target="#Definitions!C65:J65"/><Relationship Id="rId9" Type="http://schemas.openxmlformats.org/officeDocument/2006/relationships/hyperlink" Target="#Definitions!C22:J22"/><Relationship Id="rId14" Type="http://schemas.openxmlformats.org/officeDocument/2006/relationships/hyperlink" Target="#Definitions!C46:E47"/><Relationship Id="rId22" Type="http://schemas.openxmlformats.org/officeDocument/2006/relationships/hyperlink" Target="#Definitions!C61:J61"/><Relationship Id="rId27" Type="http://schemas.openxmlformats.org/officeDocument/2006/relationships/hyperlink" Target="#Definitions!C6:J6"/></Relationships>
</file>

<file path=xl/drawings/_rels/drawing14.xml.rels><?xml version="1.0" encoding="UTF-8" standalone="yes"?>
<Relationships xmlns="http://schemas.openxmlformats.org/package/2006/relationships"><Relationship Id="rId3" Type="http://schemas.openxmlformats.org/officeDocument/2006/relationships/hyperlink" Target="http://www.awwa.org/" TargetMode="External"/><Relationship Id="rId2" Type="http://schemas.openxmlformats.org/officeDocument/2006/relationships/image" Target="../media/image18.png"/><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8" Type="http://schemas.openxmlformats.org/officeDocument/2006/relationships/hyperlink" Target="#Definitions!C38:J38"/><Relationship Id="rId13" Type="http://schemas.openxmlformats.org/officeDocument/2006/relationships/hyperlink" Target="#Definitions!C71:J71"/><Relationship Id="rId18" Type="http://schemas.openxmlformats.org/officeDocument/2006/relationships/hyperlink" Target="#Definitions!C59:J59"/><Relationship Id="rId26" Type="http://schemas.openxmlformats.org/officeDocument/2006/relationships/hyperlink" Target="#Comments!C12"/><Relationship Id="rId39" Type="http://schemas.openxmlformats.org/officeDocument/2006/relationships/hyperlink" Target="#Comments!C19"/><Relationship Id="rId3" Type="http://schemas.openxmlformats.org/officeDocument/2006/relationships/hyperlink" Target="#Definitions!C51:J51"/><Relationship Id="rId21" Type="http://schemas.openxmlformats.org/officeDocument/2006/relationships/hyperlink" Target="#Definitions!C28:J28"/><Relationship Id="rId34" Type="http://schemas.openxmlformats.org/officeDocument/2006/relationships/hyperlink" Target="#Definitions!C69:J69"/><Relationship Id="rId42" Type="http://schemas.openxmlformats.org/officeDocument/2006/relationships/hyperlink" Target="#Comments!C22"/><Relationship Id="rId47" Type="http://schemas.openxmlformats.org/officeDocument/2006/relationships/hyperlink" Target="#Comments!C27"/><Relationship Id="rId7" Type="http://schemas.openxmlformats.org/officeDocument/2006/relationships/hyperlink" Target="#Definitions!C26:J26"/><Relationship Id="rId12" Type="http://schemas.openxmlformats.org/officeDocument/2006/relationships/hyperlink" Target="#Definitions!C61:J61"/><Relationship Id="rId17" Type="http://schemas.openxmlformats.org/officeDocument/2006/relationships/hyperlink" Target="#Definitions!C40:J40"/><Relationship Id="rId25" Type="http://schemas.openxmlformats.org/officeDocument/2006/relationships/image" Target="../media/image1.png"/><Relationship Id="rId33" Type="http://schemas.openxmlformats.org/officeDocument/2006/relationships/hyperlink" Target="#Definitions!C73:J73"/><Relationship Id="rId38" Type="http://schemas.openxmlformats.org/officeDocument/2006/relationships/hyperlink" Target="#Comments!C18"/><Relationship Id="rId46" Type="http://schemas.openxmlformats.org/officeDocument/2006/relationships/hyperlink" Target="#Comments!C26"/><Relationship Id="rId2" Type="http://schemas.openxmlformats.org/officeDocument/2006/relationships/hyperlink" Target="#Definitions!C18:J18"/><Relationship Id="rId16" Type="http://schemas.openxmlformats.org/officeDocument/2006/relationships/hyperlink" Target="#Definitions!C22:J22"/><Relationship Id="rId20" Type="http://schemas.openxmlformats.org/officeDocument/2006/relationships/hyperlink" Target="#Definitions!C8:J8"/><Relationship Id="rId29" Type="http://schemas.openxmlformats.org/officeDocument/2006/relationships/hyperlink" Target="#Comments!C15"/><Relationship Id="rId41" Type="http://schemas.openxmlformats.org/officeDocument/2006/relationships/hyperlink" Target="#Comments!C21"/><Relationship Id="rId1" Type="http://schemas.openxmlformats.org/officeDocument/2006/relationships/hyperlink" Target="#Definitions!C16:J16"/><Relationship Id="rId6" Type="http://schemas.openxmlformats.org/officeDocument/2006/relationships/hyperlink" Target="#Definitions!C30:J30"/><Relationship Id="rId11" Type="http://schemas.openxmlformats.org/officeDocument/2006/relationships/hyperlink" Target="#Definitions!C12:J12"/><Relationship Id="rId24" Type="http://schemas.openxmlformats.org/officeDocument/2006/relationships/hyperlink" Target="#Instructions!A1"/><Relationship Id="rId32" Type="http://schemas.openxmlformats.org/officeDocument/2006/relationships/hyperlink" Target="#Definitions!C65:J65"/><Relationship Id="rId37" Type="http://schemas.openxmlformats.org/officeDocument/2006/relationships/hyperlink" Target="#Comments!C11"/><Relationship Id="rId40" Type="http://schemas.openxmlformats.org/officeDocument/2006/relationships/hyperlink" Target="#Comments!C20"/><Relationship Id="rId45" Type="http://schemas.openxmlformats.org/officeDocument/2006/relationships/hyperlink" Target="#Comments!C25"/><Relationship Id="rId5" Type="http://schemas.openxmlformats.org/officeDocument/2006/relationships/hyperlink" Target="#Definitions!C49:J49"/><Relationship Id="rId15" Type="http://schemas.openxmlformats.org/officeDocument/2006/relationships/hyperlink" Target="#Definitions!C42:J42"/><Relationship Id="rId23" Type="http://schemas.openxmlformats.org/officeDocument/2006/relationships/hyperlink" Target="#Comments!C8"/><Relationship Id="rId28" Type="http://schemas.openxmlformats.org/officeDocument/2006/relationships/hyperlink" Target="#Comments!C14"/><Relationship Id="rId36" Type="http://schemas.openxmlformats.org/officeDocument/2006/relationships/hyperlink" Target="#Comments!C13"/><Relationship Id="rId10" Type="http://schemas.openxmlformats.org/officeDocument/2006/relationships/hyperlink" Target="#'Service Connection Diagram'!B2"/><Relationship Id="rId19" Type="http://schemas.openxmlformats.org/officeDocument/2006/relationships/hyperlink" Target="#Definitions!C32:J32"/><Relationship Id="rId31" Type="http://schemas.openxmlformats.org/officeDocument/2006/relationships/hyperlink" Target="#Comments!C16"/><Relationship Id="rId44" Type="http://schemas.openxmlformats.org/officeDocument/2006/relationships/hyperlink" Target="#Comments!C24"/><Relationship Id="rId4" Type="http://schemas.openxmlformats.org/officeDocument/2006/relationships/hyperlink" Target="#Definitions!C63:J63"/><Relationship Id="rId9" Type="http://schemas.openxmlformats.org/officeDocument/2006/relationships/hyperlink" Target="#Definitions!C20:J20"/><Relationship Id="rId14" Type="http://schemas.openxmlformats.org/officeDocument/2006/relationships/hyperlink" Target="#Definitions!C67:J67"/><Relationship Id="rId22" Type="http://schemas.openxmlformats.org/officeDocument/2006/relationships/hyperlink" Target="#Definitions!C6:J6"/><Relationship Id="rId27" Type="http://schemas.openxmlformats.org/officeDocument/2006/relationships/hyperlink" Target="#Comments!C10"/><Relationship Id="rId30" Type="http://schemas.openxmlformats.org/officeDocument/2006/relationships/hyperlink" Target="#Comments!C17"/><Relationship Id="rId35" Type="http://schemas.openxmlformats.org/officeDocument/2006/relationships/hyperlink" Target="#Comments!C9"/><Relationship Id="rId43" Type="http://schemas.openxmlformats.org/officeDocument/2006/relationships/hyperlink" Target="#Comments!C23"/><Relationship Id="rId48" Type="http://schemas.openxmlformats.org/officeDocument/2006/relationships/hyperlink" Target="#Definitions!C36:J36"/></Relationships>
</file>

<file path=xl/drawings/_rels/drawing3.xml.rels><?xml version="1.0" encoding="UTF-8" standalone="yes"?>
<Relationships xmlns="http://schemas.openxmlformats.org/package/2006/relationships"><Relationship Id="rId3" Type="http://schemas.openxmlformats.org/officeDocument/2006/relationships/hyperlink" Target="#'Grading Matrix'!A1"/><Relationship Id="rId2" Type="http://schemas.openxmlformats.org/officeDocument/2006/relationships/hyperlink" Target="#Definitions!C24:J24"/><Relationship Id="rId1" Type="http://schemas.openxmlformats.org/officeDocument/2006/relationships/hyperlink" Target="#Definitions!C45:E45"/><Relationship Id="rId5" Type="http://schemas.openxmlformats.org/officeDocument/2006/relationships/image" Target="../media/image2.png"/><Relationship Id="rId4"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5.png"/><Relationship Id="rId7" Type="http://schemas.openxmlformats.org/officeDocument/2006/relationships/chart" Target="../charts/chart5.xml"/><Relationship Id="rId2" Type="http://schemas.openxmlformats.org/officeDocument/2006/relationships/hyperlink" Target="#Instructions!A1"/><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Definitions!C10:L10"/><Relationship Id="rId5" Type="http://schemas.openxmlformats.org/officeDocument/2006/relationships/image" Target="../media/image5.png"/><Relationship Id="rId4"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xdr:from>
      <xdr:col>11</xdr:col>
      <xdr:colOff>647700</xdr:colOff>
      <xdr:row>24</xdr:row>
      <xdr:rowOff>9525</xdr:rowOff>
    </xdr:from>
    <xdr:to>
      <xdr:col>12</xdr:col>
      <xdr:colOff>152400</xdr:colOff>
      <xdr:row>27</xdr:row>
      <xdr:rowOff>57150</xdr:rowOff>
    </xdr:to>
    <xdr:cxnSp macro="">
      <xdr:nvCxnSpPr>
        <xdr:cNvPr id="5974838" name="Straight Arrow Connector 6"/>
        <xdr:cNvCxnSpPr>
          <a:cxnSpLocks noChangeShapeType="1"/>
        </xdr:cNvCxnSpPr>
      </xdr:nvCxnSpPr>
      <xdr:spPr bwMode="auto">
        <a:xfrm flipV="1">
          <a:off x="7381875" y="3800475"/>
          <a:ext cx="228600" cy="30480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12</xdr:col>
      <xdr:colOff>438150</xdr:colOff>
      <xdr:row>24</xdr:row>
      <xdr:rowOff>19050</xdr:rowOff>
    </xdr:from>
    <xdr:to>
      <xdr:col>12</xdr:col>
      <xdr:colOff>561975</xdr:colOff>
      <xdr:row>27</xdr:row>
      <xdr:rowOff>66675</xdr:rowOff>
    </xdr:to>
    <xdr:cxnSp macro="">
      <xdr:nvCxnSpPr>
        <xdr:cNvPr id="5974839" name="Straight Arrow Connector 33"/>
        <xdr:cNvCxnSpPr>
          <a:cxnSpLocks noChangeShapeType="1"/>
        </xdr:cNvCxnSpPr>
      </xdr:nvCxnSpPr>
      <xdr:spPr bwMode="auto">
        <a:xfrm flipH="1" flipV="1">
          <a:off x="7896225" y="3810000"/>
          <a:ext cx="123825" cy="30480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16</xdr:col>
      <xdr:colOff>0</xdr:colOff>
      <xdr:row>1</xdr:row>
      <xdr:rowOff>55245</xdr:rowOff>
    </xdr:from>
    <xdr:to>
      <xdr:col>17</xdr:col>
      <xdr:colOff>0</xdr:colOff>
      <xdr:row>1</xdr:row>
      <xdr:rowOff>285163</xdr:rowOff>
    </xdr:to>
    <xdr:sp macro="" textlink="">
      <xdr:nvSpPr>
        <xdr:cNvPr id="13" name="Text Box 706">
          <a:extLst>
            <a:ext uri="{FF2B5EF4-FFF2-40B4-BE49-F238E27FC236}">
              <a16:creationId xmlns="" xmlns:a16="http://schemas.microsoft.com/office/drawing/2014/main" id="{2B35F5B0-C72A-4FF8-82CB-3BEDFB480417}"/>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4</xdr:col>
      <xdr:colOff>715327</xdr:colOff>
      <xdr:row>1</xdr:row>
      <xdr:rowOff>324802</xdr:rowOff>
    </xdr:from>
    <xdr:to>
      <xdr:col>11</xdr:col>
      <xdr:colOff>333388</xdr:colOff>
      <xdr:row>2</xdr:row>
      <xdr:rowOff>2178</xdr:rowOff>
    </xdr:to>
    <xdr:sp macro="" textlink="">
      <xdr:nvSpPr>
        <xdr:cNvPr id="16" name="Text Box 474">
          <a:extLst>
            <a:ext uri="{FF2B5EF4-FFF2-40B4-BE49-F238E27FC236}">
              <a16:creationId xmlns="" xmlns:a16="http://schemas.microsoft.com/office/drawing/2014/main" id="{A99C3B3E-8E66-4451-A845-728403291F8C}"/>
            </a:ext>
          </a:extLst>
        </xdr:cNvPr>
        <xdr:cNvSpPr txBox="1">
          <a:spLocks noChangeArrowheads="1"/>
        </xdr:cNvSpPr>
      </xdr:nvSpPr>
      <xdr:spPr bwMode="auto">
        <a:xfrm>
          <a:off x="3093720" y="426720"/>
          <a:ext cx="382524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Works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8</xdr:col>
      <xdr:colOff>104775</xdr:colOff>
      <xdr:row>7</xdr:row>
      <xdr:rowOff>123825</xdr:rowOff>
    </xdr:from>
    <xdr:to>
      <xdr:col>8</xdr:col>
      <xdr:colOff>104775</xdr:colOff>
      <xdr:row>35</xdr:row>
      <xdr:rowOff>171450</xdr:rowOff>
    </xdr:to>
    <xdr:cxnSp macro="">
      <xdr:nvCxnSpPr>
        <xdr:cNvPr id="5974842" name="Straight Connector 2"/>
        <xdr:cNvCxnSpPr>
          <a:cxnSpLocks noChangeShapeType="1"/>
        </xdr:cNvCxnSpPr>
      </xdr:nvCxnSpPr>
      <xdr:spPr bwMode="auto">
        <a:xfrm>
          <a:off x="5505450" y="1809750"/>
          <a:ext cx="0" cy="3324225"/>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12</xdr:col>
          <xdr:colOff>352425</xdr:colOff>
          <xdr:row>22</xdr:row>
          <xdr:rowOff>28575</xdr:rowOff>
        </xdr:from>
        <xdr:to>
          <xdr:col>13</xdr:col>
          <xdr:colOff>9525</xdr:colOff>
          <xdr:row>24</xdr:row>
          <xdr:rowOff>9525</xdr:rowOff>
        </xdr:to>
        <xdr:sp macro="" textlink="">
          <xdr:nvSpPr>
            <xdr:cNvPr id="806510" name="Option Button 4718" hidden="1">
              <a:extLst>
                <a:ext uri="{63B3BB69-23CF-44E3-9099-C40C66FF867C}">
                  <a14:compatExt spid="_x0000_s80651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0</xdr:rowOff>
        </xdr:from>
        <xdr:to>
          <xdr:col>12</xdr:col>
          <xdr:colOff>276225</xdr:colOff>
          <xdr:row>24</xdr:row>
          <xdr:rowOff>0</xdr:rowOff>
        </xdr:to>
        <xdr:sp macro="" textlink="">
          <xdr:nvSpPr>
            <xdr:cNvPr id="806511" name="Option Button 4719" hidden="1">
              <a:extLst>
                <a:ext uri="{63B3BB69-23CF-44E3-9099-C40C66FF867C}">
                  <a14:compatExt spid="_x0000_s806511"/>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123825</xdr:colOff>
      <xdr:row>27</xdr:row>
      <xdr:rowOff>58102</xdr:rowOff>
    </xdr:from>
    <xdr:to>
      <xdr:col>12</xdr:col>
      <xdr:colOff>122914</xdr:colOff>
      <xdr:row>31</xdr:row>
      <xdr:rowOff>152397</xdr:rowOff>
    </xdr:to>
    <xdr:sp macro="" textlink="">
      <xdr:nvSpPr>
        <xdr:cNvPr id="2" name="TextBox 1">
          <a:extLst>
            <a:ext uri="{FF2B5EF4-FFF2-40B4-BE49-F238E27FC236}">
              <a16:creationId xmlns="" xmlns:a16="http://schemas.microsoft.com/office/drawing/2014/main" id="{82A0E1D6-BB3E-4D35-B933-2E48170E2552}"/>
            </a:ext>
          </a:extLst>
        </xdr:cNvPr>
        <xdr:cNvSpPr txBox="1"/>
      </xdr:nvSpPr>
      <xdr:spPr>
        <a:xfrm>
          <a:off x="5600700" y="3764280"/>
          <a:ext cx="1813560"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Select</a:t>
          </a:r>
          <a:r>
            <a:rPr lang="en-US" sz="1000" baseline="0">
              <a:latin typeface="Arial" panose="020B0604020202020204" pitchFamily="34" charset="0"/>
              <a:cs typeface="Arial" panose="020B0604020202020204" pitchFamily="34" charset="0"/>
            </a:rPr>
            <a:t> the default percentage by choosing the option button on the left</a:t>
          </a:r>
          <a:endParaRPr lang="en-US" sz="1000">
            <a:latin typeface="Arial" panose="020B0604020202020204" pitchFamily="34" charset="0"/>
            <a:cs typeface="Arial" panose="020B0604020202020204" pitchFamily="34" charset="0"/>
          </a:endParaRPr>
        </a:p>
      </xdr:txBody>
    </xdr:sp>
    <xdr:clientData/>
  </xdr:twoCellAnchor>
  <xdr:twoCellAnchor>
    <xdr:from>
      <xdr:col>12</xdr:col>
      <xdr:colOff>408622</xdr:colOff>
      <xdr:row>27</xdr:row>
      <xdr:rowOff>75247</xdr:rowOff>
    </xdr:from>
    <xdr:to>
      <xdr:col>15</xdr:col>
      <xdr:colOff>1096</xdr:colOff>
      <xdr:row>31</xdr:row>
      <xdr:rowOff>153242</xdr:rowOff>
    </xdr:to>
    <xdr:sp macro="" textlink="">
      <xdr:nvSpPr>
        <xdr:cNvPr id="15" name="TextBox 14">
          <a:extLst>
            <a:ext uri="{FF2B5EF4-FFF2-40B4-BE49-F238E27FC236}">
              <a16:creationId xmlns="" xmlns:a16="http://schemas.microsoft.com/office/drawing/2014/main" id="{418AF694-A1C6-45DB-8D6A-C003CFCC0F3A}"/>
            </a:ext>
          </a:extLst>
        </xdr:cNvPr>
        <xdr:cNvSpPr txBox="1"/>
      </xdr:nvSpPr>
      <xdr:spPr>
        <a:xfrm>
          <a:off x="7711440" y="3771900"/>
          <a:ext cx="1897380" cy="563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lang="en-US" sz="1000">
              <a:latin typeface="Arial" panose="020B0604020202020204" pitchFamily="34" charset="0"/>
              <a:cs typeface="Arial" panose="020B0604020202020204" pitchFamily="34" charset="0"/>
            </a:rPr>
            <a:t>To enter a value,</a:t>
          </a:r>
          <a:r>
            <a:rPr lang="en-US" sz="1000" baseline="0">
              <a:latin typeface="Arial" panose="020B0604020202020204" pitchFamily="34" charset="0"/>
              <a:cs typeface="Arial" panose="020B0604020202020204" pitchFamily="34" charset="0"/>
            </a:rPr>
            <a:t> choose this button and enter a value in the cell to the right</a:t>
          </a:r>
          <a:endParaRPr lang="en-US" sz="1000">
            <a:latin typeface="Arial" panose="020B0604020202020204" pitchFamily="34" charset="0"/>
            <a:cs typeface="Arial" panose="020B0604020202020204" pitchFamily="34" charset="0"/>
          </a:endParaRPr>
        </a:p>
      </xdr:txBody>
    </xdr:sp>
    <xdr:clientData/>
  </xdr:twoCellAnchor>
  <xdr:twoCellAnchor>
    <xdr:from>
      <xdr:col>2</xdr:col>
      <xdr:colOff>20002</xdr:colOff>
      <xdr:row>38</xdr:row>
      <xdr:rowOff>114437</xdr:rowOff>
    </xdr:from>
    <xdr:to>
      <xdr:col>3</xdr:col>
      <xdr:colOff>104448</xdr:colOff>
      <xdr:row>45</xdr:row>
      <xdr:rowOff>59383</xdr:rowOff>
    </xdr:to>
    <xdr:sp macro="" textlink="">
      <xdr:nvSpPr>
        <xdr:cNvPr id="22" name="Rounded Rectangle 21">
          <a:hlinkClick xmlns:r="http://schemas.openxmlformats.org/officeDocument/2006/relationships" r:id="rId1"/>
          <a:extLst>
            <a:ext uri="{FF2B5EF4-FFF2-40B4-BE49-F238E27FC236}">
              <a16:creationId xmlns="" xmlns:a16="http://schemas.microsoft.com/office/drawing/2014/main" id="{C7AA18DC-346B-482B-BBD8-539FF4F94A4A}"/>
            </a:ext>
          </a:extLst>
        </xdr:cNvPr>
        <xdr:cNvSpPr/>
      </xdr:nvSpPr>
      <xdr:spPr>
        <a:xfrm>
          <a:off x="236220" y="5716090"/>
          <a:ext cx="1490472"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i="1" u="sng">
              <a:solidFill>
                <a:schemeClr val="dk1"/>
              </a:solidFill>
              <a:effectLst/>
              <a:latin typeface="+mn-lt"/>
              <a:ea typeface="+mn-ea"/>
              <a:cs typeface="+mn-cs"/>
            </a:rPr>
            <a:t>Instructions</a:t>
          </a:r>
        </a:p>
        <a:p>
          <a:pPr algn="ctr"/>
          <a:endParaRPr lang="en-US" sz="500">
            <a:effectLst/>
          </a:endParaRPr>
        </a:p>
        <a:p>
          <a:pPr algn="ctr">
            <a:lnSpc>
              <a:spcPts val="1100"/>
            </a:lnSpc>
          </a:pPr>
          <a:r>
            <a:rPr lang="en-US" sz="1000" b="0" i="0">
              <a:solidFill>
                <a:schemeClr val="dk1"/>
              </a:solidFill>
              <a:effectLst/>
              <a:latin typeface="+mn-lt"/>
              <a:ea typeface="+mn-ea"/>
              <a:cs typeface="+mn-cs"/>
            </a:rPr>
            <a:t>The current sheet.</a:t>
          </a:r>
          <a:r>
            <a:rPr lang="en-US" sz="1000" b="0" i="0" baseline="0">
              <a:solidFill>
                <a:schemeClr val="dk1"/>
              </a:solidFill>
              <a:effectLst/>
              <a:latin typeface="+mn-lt"/>
              <a:ea typeface="+mn-ea"/>
              <a:cs typeface="+mn-cs"/>
            </a:rPr>
            <a:t> Enter contact information and basic audit details (year,  units etc)</a:t>
          </a:r>
          <a:endParaRPr lang="en-US" sz="1000"/>
        </a:p>
      </xdr:txBody>
    </xdr:sp>
    <xdr:clientData/>
  </xdr:twoCellAnchor>
  <xdr:twoCellAnchor>
    <xdr:from>
      <xdr:col>6</xdr:col>
      <xdr:colOff>1008697</xdr:colOff>
      <xdr:row>38</xdr:row>
      <xdr:rowOff>96201</xdr:rowOff>
    </xdr:from>
    <xdr:to>
      <xdr:col>9</xdr:col>
      <xdr:colOff>818958</xdr:colOff>
      <xdr:row>45</xdr:row>
      <xdr:rowOff>58530</xdr:rowOff>
    </xdr:to>
    <xdr:sp macro="" textlink="">
      <xdr:nvSpPr>
        <xdr:cNvPr id="24" name="Rounded Rectangle 23">
          <a:hlinkClick xmlns:r="http://schemas.openxmlformats.org/officeDocument/2006/relationships" r:id="rId2"/>
          <a:extLst>
            <a:ext uri="{FF2B5EF4-FFF2-40B4-BE49-F238E27FC236}">
              <a16:creationId xmlns="" xmlns:a16="http://schemas.microsoft.com/office/drawing/2014/main" id="{31A4DF18-D03D-461F-A168-C71C9C358E92}"/>
            </a:ext>
          </a:extLst>
        </xdr:cNvPr>
        <xdr:cNvSpPr/>
      </xdr:nvSpPr>
      <xdr:spPr>
        <a:xfrm>
          <a:off x="5135880" y="5714999"/>
          <a:ext cx="1490472" cy="1435827"/>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1100"/>
            </a:lnSpc>
          </a:pPr>
          <a:r>
            <a:rPr lang="en-US" sz="1100" b="1" i="1" u="sng">
              <a:solidFill>
                <a:schemeClr val="dk1"/>
              </a:solidFill>
              <a:effectLst/>
              <a:latin typeface="+mn-lt"/>
              <a:ea typeface="+mn-ea"/>
              <a:cs typeface="+mn-cs"/>
            </a:rPr>
            <a:t>Performance Indicators</a:t>
          </a:r>
        </a:p>
        <a:p>
          <a:pPr>
            <a:lnSpc>
              <a:spcPts val="500"/>
            </a:lnSpc>
          </a:pPr>
          <a:endParaRPr lang="en-US" sz="500">
            <a:effectLst/>
          </a:endParaRPr>
        </a:p>
        <a:p>
          <a:pPr algn="ctr">
            <a:lnSpc>
              <a:spcPts val="1000"/>
            </a:lnSpc>
          </a:pPr>
          <a:r>
            <a:rPr lang="en-US" sz="1000" b="0" i="0">
              <a:solidFill>
                <a:schemeClr val="dk1"/>
              </a:solidFill>
              <a:effectLst/>
              <a:latin typeface="+mn-lt"/>
              <a:ea typeface="+mn-ea"/>
              <a:cs typeface="+mn-cs"/>
            </a:rPr>
            <a:t>Review the</a:t>
          </a:r>
          <a:r>
            <a:rPr lang="en-US" sz="1000" b="0" i="0" baseline="0">
              <a:solidFill>
                <a:schemeClr val="dk1"/>
              </a:solidFill>
              <a:effectLst/>
              <a:latin typeface="+mn-lt"/>
              <a:ea typeface="+mn-ea"/>
              <a:cs typeface="+mn-cs"/>
            </a:rPr>
            <a:t> performance indicators to evaluate the results of the audit </a:t>
          </a:r>
          <a:endParaRPr lang="en-US" sz="1000"/>
        </a:p>
      </xdr:txBody>
    </xdr:sp>
    <xdr:clientData/>
  </xdr:twoCellAnchor>
  <xdr:twoCellAnchor>
    <xdr:from>
      <xdr:col>5</xdr:col>
      <xdr:colOff>182880</xdr:colOff>
      <xdr:row>38</xdr:row>
      <xdr:rowOff>114165</xdr:rowOff>
    </xdr:from>
    <xdr:to>
      <xdr:col>6</xdr:col>
      <xdr:colOff>858088</xdr:colOff>
      <xdr:row>45</xdr:row>
      <xdr:rowOff>57099</xdr:rowOff>
    </xdr:to>
    <xdr:sp macro="" textlink="">
      <xdr:nvSpPr>
        <xdr:cNvPr id="25" name="Rounded Rectangle 24">
          <a:hlinkClick xmlns:r="http://schemas.openxmlformats.org/officeDocument/2006/relationships" r:id="rId3"/>
          <a:extLst>
            <a:ext uri="{FF2B5EF4-FFF2-40B4-BE49-F238E27FC236}">
              <a16:creationId xmlns="" xmlns:a16="http://schemas.microsoft.com/office/drawing/2014/main" id="{DCA148B3-346E-4D48-82DA-76BF0B8F8294}"/>
            </a:ext>
          </a:extLst>
        </xdr:cNvPr>
        <xdr:cNvSpPr/>
      </xdr:nvSpPr>
      <xdr:spPr>
        <a:xfrm>
          <a:off x="3497580" y="5713913"/>
          <a:ext cx="1490472"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Comments</a:t>
          </a:r>
        </a:p>
        <a:p>
          <a:pPr algn="ctr">
            <a:lnSpc>
              <a:spcPts val="500"/>
            </a:lnSpc>
          </a:pPr>
          <a:endParaRPr lang="en-US" sz="500">
            <a:effectLst/>
          </a:endParaRPr>
        </a:p>
        <a:p>
          <a:pPr algn="ctr">
            <a:lnSpc>
              <a:spcPts val="1200"/>
            </a:lnSpc>
          </a:pPr>
          <a:r>
            <a:rPr lang="en-US" sz="1000" b="0" i="0">
              <a:solidFill>
                <a:schemeClr val="dk1"/>
              </a:solidFill>
              <a:effectLst/>
              <a:latin typeface="+mn-lt"/>
              <a:ea typeface="+mn-ea"/>
              <a:cs typeface="+mn-cs"/>
            </a:rPr>
            <a:t>Enter comments to explain how values were calculated</a:t>
          </a:r>
          <a:r>
            <a:rPr lang="en-US" sz="1000" b="0" i="0" baseline="0">
              <a:solidFill>
                <a:schemeClr val="dk1"/>
              </a:solidFill>
              <a:effectLst/>
              <a:latin typeface="+mn-lt"/>
              <a:ea typeface="+mn-ea"/>
              <a:cs typeface="+mn-cs"/>
            </a:rPr>
            <a:t> or to </a:t>
          </a:r>
          <a:r>
            <a:rPr lang="en-US" sz="1000" b="0" i="0">
              <a:solidFill>
                <a:schemeClr val="dk1"/>
              </a:solidFill>
              <a:effectLst/>
              <a:latin typeface="+mn-lt"/>
              <a:ea typeface="+mn-ea"/>
              <a:cs typeface="+mn-cs"/>
            </a:rPr>
            <a:t>document data sources</a:t>
          </a:r>
          <a:endParaRPr lang="en-US" sz="1000">
            <a:effectLst/>
          </a:endParaRPr>
        </a:p>
      </xdr:txBody>
    </xdr:sp>
    <xdr:clientData/>
  </xdr:twoCellAnchor>
  <xdr:twoCellAnchor>
    <xdr:from>
      <xdr:col>9</xdr:col>
      <xdr:colOff>925830</xdr:colOff>
      <xdr:row>38</xdr:row>
      <xdr:rowOff>113076</xdr:rowOff>
    </xdr:from>
    <xdr:to>
      <xdr:col>12</xdr:col>
      <xdr:colOff>579895</xdr:colOff>
      <xdr:row>45</xdr:row>
      <xdr:rowOff>56010</xdr:rowOff>
    </xdr:to>
    <xdr:sp macro="" textlink="">
      <xdr:nvSpPr>
        <xdr:cNvPr id="26" name="Rounded Rectangle 25">
          <a:hlinkClick xmlns:r="http://schemas.openxmlformats.org/officeDocument/2006/relationships" r:id="rId4"/>
          <a:extLst>
            <a:ext uri="{FF2B5EF4-FFF2-40B4-BE49-F238E27FC236}">
              <a16:creationId xmlns="" xmlns:a16="http://schemas.microsoft.com/office/drawing/2014/main" id="{BDF531B2-8DBA-4D33-8212-3B2176D5D44E}"/>
            </a:ext>
          </a:extLst>
        </xdr:cNvPr>
        <xdr:cNvSpPr/>
      </xdr:nvSpPr>
      <xdr:spPr>
        <a:xfrm>
          <a:off x="6758940" y="5712824"/>
          <a:ext cx="1490472"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i="1" u="sng">
              <a:solidFill>
                <a:schemeClr val="dk1"/>
              </a:solidFill>
              <a:effectLst/>
              <a:latin typeface="+mn-lt"/>
              <a:ea typeface="+mn-ea"/>
              <a:cs typeface="+mn-cs"/>
            </a:rPr>
            <a:t>Water Balance</a:t>
          </a:r>
        </a:p>
        <a:p>
          <a:pPr algn="ctr"/>
          <a:endParaRPr lang="en-US" sz="500">
            <a:effectLst/>
          </a:endParaRPr>
        </a:p>
        <a:p>
          <a:pPr algn="ctr">
            <a:lnSpc>
              <a:spcPts val="1000"/>
            </a:lnSpc>
          </a:pPr>
          <a:r>
            <a:rPr lang="en-US" sz="1000" b="0" i="0">
              <a:solidFill>
                <a:schemeClr val="dk1"/>
              </a:solidFill>
              <a:effectLst/>
              <a:latin typeface="+mn-lt"/>
              <a:ea typeface="+mn-ea"/>
              <a:cs typeface="+mn-cs"/>
            </a:rPr>
            <a:t>The values entered</a:t>
          </a:r>
          <a:r>
            <a:rPr lang="en-US" sz="1000" b="0" i="0" baseline="0">
              <a:solidFill>
                <a:schemeClr val="dk1"/>
              </a:solidFill>
              <a:effectLst/>
              <a:latin typeface="+mn-lt"/>
              <a:ea typeface="+mn-ea"/>
              <a:cs typeface="+mn-cs"/>
            </a:rPr>
            <a:t> in the Reporting Worksheet are used to populate the Water Balance</a:t>
          </a:r>
          <a:endParaRPr lang="en-US" sz="1000">
            <a:effectLst/>
          </a:endParaRPr>
        </a:p>
      </xdr:txBody>
    </xdr:sp>
    <xdr:clientData/>
  </xdr:twoCellAnchor>
  <xdr:twoCellAnchor>
    <xdr:from>
      <xdr:col>13</xdr:col>
      <xdr:colOff>144970</xdr:colOff>
      <xdr:row>38</xdr:row>
      <xdr:rowOff>115526</xdr:rowOff>
    </xdr:from>
    <xdr:to>
      <xdr:col>16</xdr:col>
      <xdr:colOff>68770</xdr:colOff>
      <xdr:row>45</xdr:row>
      <xdr:rowOff>74926</xdr:rowOff>
    </xdr:to>
    <xdr:sp macro="" textlink="">
      <xdr:nvSpPr>
        <xdr:cNvPr id="31" name="Rounded Rectangle 30">
          <a:hlinkClick xmlns:r="http://schemas.openxmlformats.org/officeDocument/2006/relationships" r:id="rId5"/>
          <a:extLst>
            <a:ext uri="{FF2B5EF4-FFF2-40B4-BE49-F238E27FC236}">
              <a16:creationId xmlns="" xmlns:a16="http://schemas.microsoft.com/office/drawing/2014/main" id="{35CA2D70-6EA0-4900-945E-149AC4F8DC67}"/>
            </a:ext>
          </a:extLst>
        </xdr:cNvPr>
        <xdr:cNvSpPr/>
      </xdr:nvSpPr>
      <xdr:spPr>
        <a:xfrm>
          <a:off x="8407908" y="5717179"/>
          <a:ext cx="1508760"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100"/>
            </a:lnSpc>
          </a:pPr>
          <a:r>
            <a:rPr lang="en-US" sz="1100" b="1" i="1" u="sng">
              <a:solidFill>
                <a:schemeClr val="dk1"/>
              </a:solidFill>
              <a:effectLst/>
              <a:latin typeface="+mn-lt"/>
              <a:ea typeface="+mn-ea"/>
              <a:cs typeface="+mn-cs"/>
            </a:rPr>
            <a:t>Dashboard</a:t>
          </a:r>
        </a:p>
        <a:p>
          <a:pPr algn="ctr">
            <a:lnSpc>
              <a:spcPts val="500"/>
            </a:lnSpc>
          </a:pPr>
          <a:endParaRPr lang="en-US" sz="500">
            <a:effectLst/>
          </a:endParaRPr>
        </a:p>
        <a:p>
          <a:pPr algn="ctr">
            <a:lnSpc>
              <a:spcPts val="1200"/>
            </a:lnSpc>
          </a:pPr>
          <a:r>
            <a:rPr lang="en-US" sz="1000" b="0" i="0">
              <a:solidFill>
                <a:schemeClr val="dk1"/>
              </a:solidFill>
              <a:effectLst/>
              <a:latin typeface="+mn-lt"/>
              <a:ea typeface="+mn-ea"/>
              <a:cs typeface="+mn-cs"/>
            </a:rPr>
            <a:t>A graphical</a:t>
          </a:r>
          <a:r>
            <a:rPr lang="en-US" sz="1000" b="0" i="0" baseline="0">
              <a:solidFill>
                <a:schemeClr val="dk1"/>
              </a:solidFill>
              <a:effectLst/>
              <a:latin typeface="+mn-lt"/>
              <a:ea typeface="+mn-ea"/>
              <a:cs typeface="+mn-cs"/>
            </a:rPr>
            <a:t> summary of the water balance and Non-Revenue Water components</a:t>
          </a:r>
          <a:endParaRPr lang="en-US" sz="1000">
            <a:effectLst/>
          </a:endParaRPr>
        </a:p>
      </xdr:txBody>
    </xdr:sp>
    <xdr:clientData/>
  </xdr:twoCellAnchor>
  <xdr:twoCellAnchor>
    <xdr:from>
      <xdr:col>2</xdr:col>
      <xdr:colOff>20002</xdr:colOff>
      <xdr:row>46</xdr:row>
      <xdr:rowOff>1764</xdr:rowOff>
    </xdr:from>
    <xdr:to>
      <xdr:col>3</xdr:col>
      <xdr:colOff>104448</xdr:colOff>
      <xdr:row>50</xdr:row>
      <xdr:rowOff>56866</xdr:rowOff>
    </xdr:to>
    <xdr:sp macro="" textlink="">
      <xdr:nvSpPr>
        <xdr:cNvPr id="32" name="Rounded Rectangle 31">
          <a:hlinkClick xmlns:r="http://schemas.openxmlformats.org/officeDocument/2006/relationships" r:id="rId6"/>
          <a:extLst>
            <a:ext uri="{FF2B5EF4-FFF2-40B4-BE49-F238E27FC236}">
              <a16:creationId xmlns="" xmlns:a16="http://schemas.microsoft.com/office/drawing/2014/main" id="{73B0F750-D724-4212-868D-CDFEA3A0AD28}"/>
            </a:ext>
          </a:extLst>
        </xdr:cNvPr>
        <xdr:cNvSpPr/>
      </xdr:nvSpPr>
      <xdr:spPr>
        <a:xfrm>
          <a:off x="236220" y="7336967"/>
          <a:ext cx="149047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Grading</a:t>
          </a:r>
          <a:r>
            <a:rPr lang="en-US" sz="1100" b="1" i="1" u="sng" baseline="0">
              <a:solidFill>
                <a:schemeClr val="dk1"/>
              </a:solidFill>
              <a:effectLst/>
              <a:latin typeface="+mn-lt"/>
              <a:ea typeface="+mn-ea"/>
              <a:cs typeface="+mn-cs"/>
            </a:rPr>
            <a:t> Matrix</a:t>
          </a:r>
        </a:p>
        <a:p>
          <a:pPr algn="ctr">
            <a:lnSpc>
              <a:spcPts val="500"/>
            </a:lnSpc>
          </a:pPr>
          <a:endParaRPr lang="en-US" sz="500">
            <a:effectLst/>
          </a:endParaRPr>
        </a:p>
        <a:p>
          <a:pPr algn="ctr">
            <a:lnSpc>
              <a:spcPts val="1200"/>
            </a:lnSpc>
          </a:pPr>
          <a:r>
            <a:rPr lang="en-US" sz="1000" b="0" i="0">
              <a:solidFill>
                <a:schemeClr val="dk1"/>
              </a:solidFill>
              <a:effectLst/>
              <a:latin typeface="+mn-lt"/>
              <a:ea typeface="+mn-ea"/>
              <a:cs typeface="+mn-cs"/>
            </a:rPr>
            <a:t>Presents</a:t>
          </a:r>
          <a:r>
            <a:rPr lang="en-US" sz="1000" b="0" i="0" baseline="0">
              <a:solidFill>
                <a:schemeClr val="dk1"/>
              </a:solidFill>
              <a:effectLst/>
              <a:latin typeface="+mn-lt"/>
              <a:ea typeface="+mn-ea"/>
              <a:cs typeface="+mn-cs"/>
            </a:rPr>
            <a:t> the possible grading options for each input component of the audit</a:t>
          </a:r>
          <a:endParaRPr lang="en-US" sz="1000">
            <a:effectLst/>
          </a:endParaRPr>
        </a:p>
      </xdr:txBody>
    </xdr:sp>
    <xdr:clientData/>
  </xdr:twoCellAnchor>
  <xdr:twoCellAnchor>
    <xdr:from>
      <xdr:col>3</xdr:col>
      <xdr:colOff>229552</xdr:colOff>
      <xdr:row>46</xdr:row>
      <xdr:rowOff>1765</xdr:rowOff>
    </xdr:from>
    <xdr:to>
      <xdr:col>5</xdr:col>
      <xdr:colOff>57966</xdr:colOff>
      <xdr:row>50</xdr:row>
      <xdr:rowOff>56867</xdr:rowOff>
    </xdr:to>
    <xdr:sp macro="" textlink="">
      <xdr:nvSpPr>
        <xdr:cNvPr id="33" name="Rounded Rectangle 32">
          <a:hlinkClick xmlns:r="http://schemas.openxmlformats.org/officeDocument/2006/relationships" r:id="rId7"/>
          <a:extLst>
            <a:ext uri="{FF2B5EF4-FFF2-40B4-BE49-F238E27FC236}">
              <a16:creationId xmlns="" xmlns:a16="http://schemas.microsoft.com/office/drawing/2014/main" id="{2F79749F-0F76-49F3-9CE7-982B5761F837}"/>
            </a:ext>
          </a:extLst>
        </xdr:cNvPr>
        <xdr:cNvSpPr/>
      </xdr:nvSpPr>
      <xdr:spPr>
        <a:xfrm>
          <a:off x="1882140" y="7336968"/>
          <a:ext cx="149047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i="1" u="sng">
              <a:solidFill>
                <a:schemeClr val="dk1"/>
              </a:solidFill>
              <a:effectLst/>
              <a:latin typeface="+mn-lt"/>
              <a:ea typeface="+mn-ea"/>
              <a:cs typeface="+mn-cs"/>
            </a:rPr>
            <a:t>Service Connection Diagram</a:t>
          </a:r>
        </a:p>
        <a:p>
          <a:pPr algn="ctr"/>
          <a:endParaRPr lang="en-US" sz="500">
            <a:effectLst/>
          </a:endParaRPr>
        </a:p>
        <a:p>
          <a:pPr algn="ctr"/>
          <a:r>
            <a:rPr lang="en-US" sz="1000" b="0" i="0">
              <a:solidFill>
                <a:schemeClr val="dk1"/>
              </a:solidFill>
              <a:effectLst/>
              <a:latin typeface="+mn-lt"/>
              <a:ea typeface="+mn-ea"/>
              <a:cs typeface="+mn-cs"/>
            </a:rPr>
            <a:t>Diagrams depicting possible customer service</a:t>
          </a:r>
          <a:r>
            <a:rPr lang="en-US" sz="1000" b="0" i="0" baseline="0">
              <a:solidFill>
                <a:schemeClr val="dk1"/>
              </a:solidFill>
              <a:effectLst/>
              <a:latin typeface="+mn-lt"/>
              <a:ea typeface="+mn-ea"/>
              <a:cs typeface="+mn-cs"/>
            </a:rPr>
            <a:t> connection line configurations</a:t>
          </a:r>
          <a:endParaRPr lang="en-US" sz="1000">
            <a:effectLst/>
          </a:endParaRPr>
        </a:p>
      </xdr:txBody>
    </xdr:sp>
    <xdr:clientData/>
  </xdr:twoCellAnchor>
  <xdr:twoCellAnchor>
    <xdr:from>
      <xdr:col>13</xdr:col>
      <xdr:colOff>144970</xdr:colOff>
      <xdr:row>46</xdr:row>
      <xdr:rowOff>675</xdr:rowOff>
    </xdr:from>
    <xdr:to>
      <xdr:col>16</xdr:col>
      <xdr:colOff>68770</xdr:colOff>
      <xdr:row>50</xdr:row>
      <xdr:rowOff>55777</xdr:rowOff>
    </xdr:to>
    <xdr:sp macro="" textlink="">
      <xdr:nvSpPr>
        <xdr:cNvPr id="34" name="Rounded Rectangle 33">
          <a:hlinkClick xmlns:r="http://schemas.openxmlformats.org/officeDocument/2006/relationships" r:id="rId8"/>
          <a:extLst>
            <a:ext uri="{FF2B5EF4-FFF2-40B4-BE49-F238E27FC236}">
              <a16:creationId xmlns="" xmlns:a16="http://schemas.microsoft.com/office/drawing/2014/main" id="{421F1896-10BC-4C86-AA4B-97151E62D2ED}"/>
            </a:ext>
          </a:extLst>
        </xdr:cNvPr>
        <xdr:cNvSpPr/>
      </xdr:nvSpPr>
      <xdr:spPr>
        <a:xfrm>
          <a:off x="8407908" y="7335878"/>
          <a:ext cx="1508760"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Acknowledgements</a:t>
          </a:r>
        </a:p>
        <a:p>
          <a:pPr algn="ctr"/>
          <a:endParaRPr lang="en-US" sz="500">
            <a:effectLst/>
          </a:endParaRPr>
        </a:p>
        <a:p>
          <a:pPr algn="ctr">
            <a:lnSpc>
              <a:spcPts val="1100"/>
            </a:lnSpc>
          </a:pPr>
          <a:r>
            <a:rPr lang="en-US" sz="1000" b="0" i="0">
              <a:solidFill>
                <a:schemeClr val="dk1"/>
              </a:solidFill>
              <a:effectLst/>
              <a:latin typeface="+mn-lt"/>
              <a:ea typeface="+mn-ea"/>
              <a:cs typeface="+mn-cs"/>
            </a:rPr>
            <a:t>Acknowledgements</a:t>
          </a:r>
          <a:r>
            <a:rPr lang="en-US" sz="1000" b="0" i="0" baseline="0">
              <a:solidFill>
                <a:schemeClr val="dk1"/>
              </a:solidFill>
              <a:effectLst/>
              <a:latin typeface="+mn-lt"/>
              <a:ea typeface="+mn-ea"/>
              <a:cs typeface="+mn-cs"/>
            </a:rPr>
            <a:t> for the AWWA Free Water Audit Software v5.0</a:t>
          </a:r>
          <a:endParaRPr lang="en-US" sz="1000">
            <a:effectLst/>
          </a:endParaRPr>
        </a:p>
      </xdr:txBody>
    </xdr:sp>
    <xdr:clientData/>
  </xdr:twoCellAnchor>
  <xdr:twoCellAnchor>
    <xdr:from>
      <xdr:col>6</xdr:col>
      <xdr:colOff>1030062</xdr:colOff>
      <xdr:row>46</xdr:row>
      <xdr:rowOff>677</xdr:rowOff>
    </xdr:from>
    <xdr:to>
      <xdr:col>9</xdr:col>
      <xdr:colOff>798447</xdr:colOff>
      <xdr:row>50</xdr:row>
      <xdr:rowOff>55779</xdr:rowOff>
    </xdr:to>
    <xdr:sp macro="" textlink="">
      <xdr:nvSpPr>
        <xdr:cNvPr id="35" name="Rounded Rectangle 34">
          <a:hlinkClick xmlns:r="http://schemas.openxmlformats.org/officeDocument/2006/relationships" r:id="rId9"/>
          <a:extLst>
            <a:ext uri="{FF2B5EF4-FFF2-40B4-BE49-F238E27FC236}">
              <a16:creationId xmlns="" xmlns:a16="http://schemas.microsoft.com/office/drawing/2014/main" id="{38BE907F-C067-463E-AE8C-201A90A2000F}"/>
            </a:ext>
          </a:extLst>
        </xdr:cNvPr>
        <xdr:cNvSpPr/>
      </xdr:nvSpPr>
      <xdr:spPr>
        <a:xfrm>
          <a:off x="5162007" y="7335880"/>
          <a:ext cx="146761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100"/>
            </a:lnSpc>
          </a:pPr>
          <a:r>
            <a:rPr lang="en-US" sz="1100" b="1" i="1" u="sng">
              <a:solidFill>
                <a:schemeClr val="dk1"/>
              </a:solidFill>
              <a:effectLst/>
              <a:latin typeface="+mn-lt"/>
              <a:ea typeface="+mn-ea"/>
              <a:cs typeface="+mn-cs"/>
            </a:rPr>
            <a:t>Loss Control Planning</a:t>
          </a:r>
        </a:p>
        <a:p>
          <a:pPr algn="ctr">
            <a:lnSpc>
              <a:spcPts val="500"/>
            </a:lnSpc>
          </a:pPr>
          <a:endParaRPr lang="en-US" sz="500">
            <a:effectLst/>
          </a:endParaRPr>
        </a:p>
        <a:p>
          <a:pPr algn="ctr">
            <a:lnSpc>
              <a:spcPts val="1000"/>
            </a:lnSpc>
          </a:pPr>
          <a:r>
            <a:rPr lang="en-US" sz="1000" b="0" i="0">
              <a:solidFill>
                <a:schemeClr val="dk1"/>
              </a:solidFill>
              <a:effectLst/>
              <a:latin typeface="+mn-lt"/>
              <a:ea typeface="+mn-ea"/>
              <a:cs typeface="+mn-cs"/>
            </a:rPr>
            <a:t>Use this sheet to interpret the</a:t>
          </a:r>
          <a:r>
            <a:rPr lang="en-US" sz="1000" b="0" i="0" baseline="0">
              <a:solidFill>
                <a:schemeClr val="dk1"/>
              </a:solidFill>
              <a:effectLst/>
              <a:latin typeface="+mn-lt"/>
              <a:ea typeface="+mn-ea"/>
              <a:cs typeface="+mn-cs"/>
            </a:rPr>
            <a:t> results of the audit validity score and performance indicators</a:t>
          </a:r>
          <a:endParaRPr lang="en-US" sz="1000">
            <a:effectLst/>
          </a:endParaRPr>
        </a:p>
      </xdr:txBody>
    </xdr:sp>
    <xdr:clientData/>
  </xdr:twoCellAnchor>
  <xdr:twoCellAnchor>
    <xdr:from>
      <xdr:col>5</xdr:col>
      <xdr:colOff>208597</xdr:colOff>
      <xdr:row>46</xdr:row>
      <xdr:rowOff>17820</xdr:rowOff>
    </xdr:from>
    <xdr:to>
      <xdr:col>6</xdr:col>
      <xdr:colOff>904625</xdr:colOff>
      <xdr:row>50</xdr:row>
      <xdr:rowOff>39079</xdr:rowOff>
    </xdr:to>
    <xdr:sp macro="" textlink="">
      <xdr:nvSpPr>
        <xdr:cNvPr id="36" name="Rounded Rectangle 35">
          <a:hlinkClick xmlns:r="http://schemas.openxmlformats.org/officeDocument/2006/relationships" r:id="rId10"/>
          <a:extLst>
            <a:ext uri="{FF2B5EF4-FFF2-40B4-BE49-F238E27FC236}">
              <a16:creationId xmlns="" xmlns:a16="http://schemas.microsoft.com/office/drawing/2014/main" id="{58771C39-DE7C-44D2-A820-DF95B8B0120C}"/>
            </a:ext>
          </a:extLst>
        </xdr:cNvPr>
        <xdr:cNvSpPr/>
      </xdr:nvSpPr>
      <xdr:spPr>
        <a:xfrm>
          <a:off x="3520440" y="7343498"/>
          <a:ext cx="149047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Definitions</a:t>
          </a:r>
        </a:p>
        <a:p>
          <a:pPr algn="ctr"/>
          <a:endParaRPr lang="en-US" sz="500">
            <a:effectLst/>
          </a:endParaRPr>
        </a:p>
        <a:p>
          <a:pPr algn="ctr">
            <a:lnSpc>
              <a:spcPts val="1100"/>
            </a:lnSpc>
          </a:pPr>
          <a:r>
            <a:rPr lang="en-US" sz="1000" b="0" i="0">
              <a:solidFill>
                <a:schemeClr val="dk1"/>
              </a:solidFill>
              <a:effectLst/>
              <a:latin typeface="+mn-lt"/>
              <a:ea typeface="+mn-ea"/>
              <a:cs typeface="+mn-cs"/>
            </a:rPr>
            <a:t>Use this</a:t>
          </a:r>
          <a:r>
            <a:rPr lang="en-US" sz="1000" b="0" i="0" baseline="0">
              <a:solidFill>
                <a:schemeClr val="dk1"/>
              </a:solidFill>
              <a:effectLst/>
              <a:latin typeface="+mn-lt"/>
              <a:ea typeface="+mn-ea"/>
              <a:cs typeface="+mn-cs"/>
            </a:rPr>
            <a:t> sheet to understand the terms used in the audit process</a:t>
          </a:r>
          <a:endParaRPr lang="en-US" sz="1000">
            <a:effectLst/>
          </a:endParaRPr>
        </a:p>
      </xdr:txBody>
    </xdr:sp>
    <xdr:clientData/>
  </xdr:twoCellAnchor>
  <xdr:twoCellAnchor>
    <xdr:from>
      <xdr:col>9</xdr:col>
      <xdr:colOff>925830</xdr:colOff>
      <xdr:row>46</xdr:row>
      <xdr:rowOff>676</xdr:rowOff>
    </xdr:from>
    <xdr:to>
      <xdr:col>12</xdr:col>
      <xdr:colOff>579895</xdr:colOff>
      <xdr:row>50</xdr:row>
      <xdr:rowOff>55778</xdr:rowOff>
    </xdr:to>
    <xdr:sp macro="" textlink="">
      <xdr:nvSpPr>
        <xdr:cNvPr id="47" name="Rounded Rectangle 46">
          <a:hlinkClick xmlns:r="http://schemas.openxmlformats.org/officeDocument/2006/relationships" r:id="rId11"/>
          <a:extLst>
            <a:ext uri="{FF2B5EF4-FFF2-40B4-BE49-F238E27FC236}">
              <a16:creationId xmlns="" xmlns:a16="http://schemas.microsoft.com/office/drawing/2014/main" id="{A5D7834C-859C-4CAD-970D-47D25AABA763}"/>
            </a:ext>
          </a:extLst>
        </xdr:cNvPr>
        <xdr:cNvSpPr/>
      </xdr:nvSpPr>
      <xdr:spPr>
        <a:xfrm>
          <a:off x="6758940" y="7335879"/>
          <a:ext cx="149047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Example Audits</a:t>
          </a:r>
        </a:p>
        <a:p>
          <a:pPr algn="ctr"/>
          <a:endParaRPr lang="en-US" sz="500">
            <a:effectLst/>
          </a:endParaRPr>
        </a:p>
        <a:p>
          <a:pPr algn="ctr">
            <a:lnSpc>
              <a:spcPts val="1200"/>
            </a:lnSpc>
          </a:pPr>
          <a:r>
            <a:rPr lang="en-US" sz="1000" b="0" i="0" baseline="0">
              <a:solidFill>
                <a:schemeClr val="dk1"/>
              </a:solidFill>
              <a:effectLst/>
              <a:latin typeface="+mn-lt"/>
              <a:ea typeface="+mn-ea"/>
              <a:cs typeface="+mn-cs"/>
            </a:rPr>
            <a:t>Reporting Worksheet and Performance Indicators examples are shown for two validated audits</a:t>
          </a:r>
          <a:endParaRPr lang="en-US" sz="1000">
            <a:effectLst/>
          </a:endParaRPr>
        </a:p>
      </xdr:txBody>
    </xdr:sp>
    <xdr:clientData/>
  </xdr:twoCellAnchor>
  <xdr:twoCellAnchor>
    <xdr:from>
      <xdr:col>3</xdr:col>
      <xdr:colOff>210095</xdr:colOff>
      <xdr:row>38</xdr:row>
      <xdr:rowOff>115525</xdr:rowOff>
    </xdr:from>
    <xdr:to>
      <xdr:col>5</xdr:col>
      <xdr:colOff>56080</xdr:colOff>
      <xdr:row>45</xdr:row>
      <xdr:rowOff>74925</xdr:rowOff>
    </xdr:to>
    <xdr:sp macro="" textlink="">
      <xdr:nvSpPr>
        <xdr:cNvPr id="48" name="Rounded Rectangle 47">
          <a:hlinkClick xmlns:r="http://schemas.openxmlformats.org/officeDocument/2006/relationships" r:id="rId12"/>
          <a:extLst>
            <a:ext uri="{FF2B5EF4-FFF2-40B4-BE49-F238E27FC236}">
              <a16:creationId xmlns="" xmlns:a16="http://schemas.microsoft.com/office/drawing/2014/main" id="{DBF48EFA-A756-4039-AB8A-764B6F7E2DBF}"/>
            </a:ext>
          </a:extLst>
        </xdr:cNvPr>
        <xdr:cNvSpPr/>
      </xdr:nvSpPr>
      <xdr:spPr>
        <a:xfrm>
          <a:off x="1856015" y="5717178"/>
          <a:ext cx="1490472"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900"/>
            </a:lnSpc>
          </a:pPr>
          <a:r>
            <a:rPr lang="en-US" sz="1100" b="1" i="1" u="sng">
              <a:solidFill>
                <a:schemeClr val="dk1"/>
              </a:solidFill>
              <a:effectLst/>
              <a:latin typeface="+mn-lt"/>
              <a:ea typeface="+mn-ea"/>
              <a:cs typeface="+mn-cs"/>
            </a:rPr>
            <a:t>Reporting Worksheet</a:t>
          </a:r>
        </a:p>
        <a:p>
          <a:pPr algn="ctr">
            <a:lnSpc>
              <a:spcPts val="400"/>
            </a:lnSpc>
          </a:pPr>
          <a:endParaRPr lang="en-US" sz="500">
            <a:effectLst/>
          </a:endParaRPr>
        </a:p>
        <a:p>
          <a:pPr algn="ctr">
            <a:lnSpc>
              <a:spcPts val="900"/>
            </a:lnSpc>
          </a:pPr>
          <a:r>
            <a:rPr lang="en-US" sz="1000" b="0" i="0">
              <a:solidFill>
                <a:schemeClr val="dk1"/>
              </a:solidFill>
              <a:effectLst/>
              <a:latin typeface="+mn-lt"/>
              <a:ea typeface="+mn-ea"/>
              <a:cs typeface="+mn-cs"/>
            </a:rPr>
            <a:t>Enter the required data on this worksheet to calculate the water balance and data grading</a:t>
          </a:r>
          <a:endParaRPr lang="en-US" sz="1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227647</xdr:colOff>
      <xdr:row>58</xdr:row>
      <xdr:rowOff>227647</xdr:rowOff>
    </xdr:from>
    <xdr:to>
      <xdr:col>6</xdr:col>
      <xdr:colOff>1087930</xdr:colOff>
      <xdr:row>58</xdr:row>
      <xdr:rowOff>459639</xdr:rowOff>
    </xdr:to>
    <xdr:sp macro="" textlink="">
      <xdr:nvSpPr>
        <xdr:cNvPr id="10288" name="Text Box 48">
          <a:extLst>
            <a:ext uri="{FF2B5EF4-FFF2-40B4-BE49-F238E27FC236}">
              <a16:creationId xmlns="" xmlns:a16="http://schemas.microsoft.com/office/drawing/2014/main" id="{36F19D32-602A-4405-B6D3-F6E54F0746F4}"/>
            </a:ext>
          </a:extLst>
        </xdr:cNvPr>
        <xdr:cNvSpPr txBox="1">
          <a:spLocks noChangeArrowheads="1"/>
        </xdr:cNvSpPr>
      </xdr:nvSpPr>
      <xdr:spPr bwMode="auto">
        <a:xfrm>
          <a:off x="1524000" y="42967275"/>
          <a:ext cx="3370039" cy="238125"/>
        </a:xfrm>
        <a:prstGeom prst="rect">
          <a:avLst/>
        </a:prstGeom>
        <a:noFill/>
        <a:ln w="12700" algn="ctr">
          <a:noFill/>
          <a:miter lim="800000"/>
          <a:headEnd/>
          <a:tailEnd/>
        </a:ln>
        <a:effectLst/>
      </xdr:spPr>
      <xdr:txBody>
        <a:bodyPr vertOverflow="clip" wrap="square" lIns="27432" tIns="22860" rIns="0" bIns="0" anchor="t" upright="1"/>
        <a:lstStyle/>
        <a:p>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To use the default percent value choose this button</a:t>
          </a:r>
        </a:p>
      </xdr:txBody>
    </xdr:sp>
    <xdr:clientData/>
  </xdr:twoCellAnchor>
  <xdr:twoCellAnchor>
    <xdr:from>
      <xdr:col>7</xdr:col>
      <xdr:colOff>103821</xdr:colOff>
      <xdr:row>58</xdr:row>
      <xdr:rowOff>153352</xdr:rowOff>
    </xdr:from>
    <xdr:to>
      <xdr:col>11</xdr:col>
      <xdr:colOff>249734</xdr:colOff>
      <xdr:row>58</xdr:row>
      <xdr:rowOff>398034</xdr:rowOff>
    </xdr:to>
    <xdr:sp macro="" textlink="">
      <xdr:nvSpPr>
        <xdr:cNvPr id="10291" name="Text Box 51">
          <a:extLst>
            <a:ext uri="{FF2B5EF4-FFF2-40B4-BE49-F238E27FC236}">
              <a16:creationId xmlns="" xmlns:a16="http://schemas.microsoft.com/office/drawing/2014/main" id="{490EAB19-C487-4A07-83FF-98E5397A4192}"/>
            </a:ext>
          </a:extLst>
        </xdr:cNvPr>
        <xdr:cNvSpPr txBox="1">
          <a:spLocks noChangeArrowheads="1"/>
        </xdr:cNvSpPr>
      </xdr:nvSpPr>
      <xdr:spPr bwMode="auto">
        <a:xfrm>
          <a:off x="5240654" y="42912030"/>
          <a:ext cx="4657725" cy="247535"/>
        </a:xfrm>
        <a:prstGeom prst="rect">
          <a:avLst/>
        </a:prstGeom>
        <a:noFill/>
        <a:ln w="12700" algn="ctr">
          <a:noFill/>
          <a:miter lim="800000"/>
          <a:headEnd/>
          <a:tailEnd/>
        </a:ln>
        <a:effectLst/>
      </xdr:spPr>
      <xdr:txBody>
        <a:bodyPr vertOverflow="clip" wrap="square" lIns="27432" tIns="22860" rIns="0" bIns="0" anchor="t" upright="1"/>
        <a:lstStyle/>
        <a:p>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To enter a value choose this button and enter the value in the cell to the right</a:t>
          </a:r>
        </a:p>
      </xdr:txBody>
    </xdr:sp>
    <xdr:clientData/>
  </xdr:twoCellAnchor>
  <xdr:twoCellAnchor>
    <xdr:from>
      <xdr:col>3</xdr:col>
      <xdr:colOff>162877</xdr:colOff>
      <xdr:row>58</xdr:row>
      <xdr:rowOff>1236345</xdr:rowOff>
    </xdr:from>
    <xdr:to>
      <xdr:col>11</xdr:col>
      <xdr:colOff>86680</xdr:colOff>
      <xdr:row>58</xdr:row>
      <xdr:rowOff>1923072</xdr:rowOff>
    </xdr:to>
    <xdr:sp macro="" textlink="">
      <xdr:nvSpPr>
        <xdr:cNvPr id="10294" name="Text Box 54">
          <a:extLst>
            <a:ext uri="{FF2B5EF4-FFF2-40B4-BE49-F238E27FC236}">
              <a16:creationId xmlns="" xmlns:a16="http://schemas.microsoft.com/office/drawing/2014/main" id="{949AD9A7-8D81-401C-B950-6FA6E98FD1F2}"/>
            </a:ext>
          </a:extLst>
        </xdr:cNvPr>
        <xdr:cNvSpPr txBox="1">
          <a:spLocks noChangeArrowheads="1"/>
        </xdr:cNvSpPr>
      </xdr:nvSpPr>
      <xdr:spPr bwMode="auto">
        <a:xfrm>
          <a:off x="1470660" y="43990260"/>
          <a:ext cx="8269608" cy="701040"/>
        </a:xfrm>
        <a:prstGeom prst="rect">
          <a:avLst/>
        </a:prstGeom>
        <a:noFill/>
        <a:ln w="12700" algn="ctr">
          <a:noFill/>
          <a:miter lim="800000"/>
          <a:headEnd/>
          <a:tailEnd/>
        </a:ln>
        <a:effectLst/>
      </xdr:spPr>
      <xdr:txBody>
        <a:bodyPr vertOverflow="clip" wrap="square" lIns="27432" tIns="27432" rIns="0" bIns="0" anchor="t" upright="1"/>
        <a:lstStyle/>
        <a:p>
          <a:pPr algn="l" rtl="0">
            <a:defRPr sz="1000"/>
          </a:pPr>
          <a:r>
            <a:rPr lang="en-US" sz="1000" b="1" i="0" u="none" strike="noStrike" baseline="0">
              <a:solidFill>
                <a:srgbClr val="000000"/>
              </a:solidFill>
              <a:latin typeface="Arial" panose="020B0604020202020204" pitchFamily="34" charset="0"/>
              <a:cs typeface="Arial" panose="020B0604020202020204" pitchFamily="34" charset="0"/>
            </a:rPr>
            <a:t>NOTE:</a:t>
          </a:r>
          <a:r>
            <a:rPr lang="en-US" sz="1000" b="0" i="0" u="none" strike="noStrike" baseline="0">
              <a:solidFill>
                <a:srgbClr val="000000"/>
              </a:solidFill>
              <a:latin typeface="Arial" panose="020B0604020202020204" pitchFamily="34" charset="0"/>
              <a:cs typeface="Arial" panose="020B0604020202020204" pitchFamily="34" charset="0"/>
            </a:rPr>
            <a:t> For Unbilled Unmetered Consumption, Unauthorized Consumption and Systematic Data Handling Errors, a recommended default value can be applied by selecting the Percent option. The default values are based on fixed percentages of Water Supplied or Billed Authorized Consumption and are recommended for use in this audit unless the auditor has well validated data for their system. Default values are shown by purple cells, as shown in the example above.</a:t>
          </a:r>
        </a:p>
      </xdr:txBody>
    </xdr:sp>
    <xdr:clientData/>
  </xdr:twoCellAnchor>
  <xdr:twoCellAnchor>
    <xdr:from>
      <xdr:col>3</xdr:col>
      <xdr:colOff>144780</xdr:colOff>
      <xdr:row>58</xdr:row>
      <xdr:rowOff>1945005</xdr:rowOff>
    </xdr:from>
    <xdr:to>
      <xdr:col>11</xdr:col>
      <xdr:colOff>103867</xdr:colOff>
      <xdr:row>59</xdr:row>
      <xdr:rowOff>975</xdr:rowOff>
    </xdr:to>
    <xdr:sp macro="" textlink="">
      <xdr:nvSpPr>
        <xdr:cNvPr id="10298" name="Text Box 58">
          <a:extLst>
            <a:ext uri="{FF2B5EF4-FFF2-40B4-BE49-F238E27FC236}">
              <a16:creationId xmlns="" xmlns:a16="http://schemas.microsoft.com/office/drawing/2014/main" id="{7B930594-A15A-4804-9A37-C9C11CB62819}"/>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5 is automatically applied (however, this grade will not be displayed).</a:t>
          </a:r>
        </a:p>
      </xdr:txBody>
    </xdr:sp>
    <xdr:clientData/>
  </xdr:twoCellAnchor>
  <xdr:twoCellAnchor>
    <xdr:from>
      <xdr:col>5</xdr:col>
      <xdr:colOff>942022</xdr:colOff>
      <xdr:row>3</xdr:row>
      <xdr:rowOff>952</xdr:rowOff>
    </xdr:from>
    <xdr:to>
      <xdr:col>6</xdr:col>
      <xdr:colOff>57389</xdr:colOff>
      <xdr:row>3</xdr:row>
      <xdr:rowOff>952</xdr:rowOff>
    </xdr:to>
    <xdr:sp macro="" textlink="">
      <xdr:nvSpPr>
        <xdr:cNvPr id="14" name="Text Box 474">
          <a:extLst>
            <a:ext uri="{FF2B5EF4-FFF2-40B4-BE49-F238E27FC236}">
              <a16:creationId xmlns="" xmlns:a16="http://schemas.microsoft.com/office/drawing/2014/main" id="{E2AA0AE5-01B0-4268-B17A-0B2C4F3F5148}"/>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10</xdr:col>
      <xdr:colOff>160020</xdr:colOff>
      <xdr:row>1</xdr:row>
      <xdr:rowOff>38101</xdr:rowOff>
    </xdr:from>
    <xdr:to>
      <xdr:col>11</xdr:col>
      <xdr:colOff>369570</xdr:colOff>
      <xdr:row>1</xdr:row>
      <xdr:rowOff>266701</xdr:rowOff>
    </xdr:to>
    <xdr:sp macro="" textlink="">
      <xdr:nvSpPr>
        <xdr:cNvPr id="15" name="Text Box 706">
          <a:extLst>
            <a:ext uri="{FF2B5EF4-FFF2-40B4-BE49-F238E27FC236}">
              <a16:creationId xmlns="" xmlns:a16="http://schemas.microsoft.com/office/drawing/2014/main" id="{3BC03A21-9415-4C24-95AB-02B2C9099DBF}"/>
            </a:ext>
          </a:extLst>
        </xdr:cNvPr>
        <xdr:cNvSpPr txBox="1">
          <a:spLocks noChangeArrowheads="1"/>
        </xdr:cNvSpPr>
      </xdr:nvSpPr>
      <xdr:spPr bwMode="auto">
        <a:xfrm>
          <a:off x="9090660" y="114301"/>
          <a:ext cx="685800" cy="22860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85725</xdr:colOff>
      <xdr:row>1</xdr:row>
      <xdr:rowOff>66675</xdr:rowOff>
    </xdr:from>
    <xdr:to>
      <xdr:col>2</xdr:col>
      <xdr:colOff>409575</xdr:colOff>
      <xdr:row>1</xdr:row>
      <xdr:rowOff>485775</xdr:rowOff>
    </xdr:to>
    <xdr:pic>
      <xdr:nvPicPr>
        <xdr:cNvPr id="6161029" name="Picture 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142875"/>
          <a:ext cx="409575" cy="41910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599122</xdr:colOff>
      <xdr:row>1</xdr:row>
      <xdr:rowOff>207645</xdr:rowOff>
    </xdr:from>
    <xdr:to>
      <xdr:col>11</xdr:col>
      <xdr:colOff>483645</xdr:colOff>
      <xdr:row>2</xdr:row>
      <xdr:rowOff>38217</xdr:rowOff>
    </xdr:to>
    <xdr:sp macro="" textlink="">
      <xdr:nvSpPr>
        <xdr:cNvPr id="18" name="Text Box 474">
          <a:extLst>
            <a:ext uri="{FF2B5EF4-FFF2-40B4-BE49-F238E27FC236}">
              <a16:creationId xmlns="" xmlns:a16="http://schemas.microsoft.com/office/drawing/2014/main" id="{14A9EF60-D8F7-4F47-BD11-97E1EDEBFA4E}"/>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6</xdr:col>
      <xdr:colOff>76200</xdr:colOff>
      <xdr:row>58</xdr:row>
      <xdr:rowOff>647700</xdr:rowOff>
    </xdr:from>
    <xdr:to>
      <xdr:col>7</xdr:col>
      <xdr:colOff>990600</xdr:colOff>
      <xdr:row>58</xdr:row>
      <xdr:rowOff>1162050</xdr:rowOff>
    </xdr:to>
    <xdr:pic>
      <xdr:nvPicPr>
        <xdr:cNvPr id="6161031" name="Picture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6194" t="66855" r="27975" b="26654"/>
        <a:stretch>
          <a:fillRect/>
        </a:stretch>
      </xdr:blipFill>
      <xdr:spPr bwMode="auto">
        <a:xfrm>
          <a:off x="3743325" y="43176825"/>
          <a:ext cx="2247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1066800</xdr:colOff>
      <xdr:row>58</xdr:row>
      <xdr:rowOff>333375</xdr:rowOff>
    </xdr:from>
    <xdr:to>
      <xdr:col>6</xdr:col>
      <xdr:colOff>1333500</xdr:colOff>
      <xdr:row>58</xdr:row>
      <xdr:rowOff>800100</xdr:rowOff>
    </xdr:to>
    <xdr:sp macro="" textlink="">
      <xdr:nvSpPr>
        <xdr:cNvPr id="6161032" name="Line 55"/>
        <xdr:cNvSpPr>
          <a:spLocks noChangeShapeType="1"/>
        </xdr:cNvSpPr>
      </xdr:nvSpPr>
      <xdr:spPr bwMode="auto">
        <a:xfrm flipH="1">
          <a:off x="4733925" y="42862500"/>
          <a:ext cx="266700" cy="466725"/>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447675</xdr:colOff>
      <xdr:row>58</xdr:row>
      <xdr:rowOff>409575</xdr:rowOff>
    </xdr:from>
    <xdr:to>
      <xdr:col>6</xdr:col>
      <xdr:colOff>809625</xdr:colOff>
      <xdr:row>58</xdr:row>
      <xdr:rowOff>809625</xdr:rowOff>
    </xdr:to>
    <xdr:sp macro="" textlink="">
      <xdr:nvSpPr>
        <xdr:cNvPr id="6161033" name="Line 49"/>
        <xdr:cNvSpPr>
          <a:spLocks noChangeShapeType="1"/>
        </xdr:cNvSpPr>
      </xdr:nvSpPr>
      <xdr:spPr bwMode="auto">
        <a:xfrm>
          <a:off x="4114800" y="42938700"/>
          <a:ext cx="361950" cy="400050"/>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152400</xdr:colOff>
      <xdr:row>58</xdr:row>
      <xdr:rowOff>400050</xdr:rowOff>
    </xdr:from>
    <xdr:to>
      <xdr:col>9</xdr:col>
      <xdr:colOff>876300</xdr:colOff>
      <xdr:row>58</xdr:row>
      <xdr:rowOff>971550</xdr:rowOff>
    </xdr:to>
    <xdr:sp macro="" textlink="">
      <xdr:nvSpPr>
        <xdr:cNvPr id="6161034" name="Line 52"/>
        <xdr:cNvSpPr>
          <a:spLocks noChangeShapeType="1"/>
        </xdr:cNvSpPr>
      </xdr:nvSpPr>
      <xdr:spPr bwMode="auto">
        <a:xfrm flipH="1">
          <a:off x="5153025" y="42929175"/>
          <a:ext cx="3057525" cy="571500"/>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180022</xdr:colOff>
      <xdr:row>5</xdr:row>
      <xdr:rowOff>875347</xdr:rowOff>
    </xdr:from>
    <xdr:to>
      <xdr:col>2</xdr:col>
      <xdr:colOff>897167</xdr:colOff>
      <xdr:row>5</xdr:row>
      <xdr:rowOff>1143127</xdr:rowOff>
    </xdr:to>
    <xdr:sp macro="" textlink="">
      <xdr:nvSpPr>
        <xdr:cNvPr id="3" name="Rounded Rectangle 2">
          <a:hlinkClick xmlns:r="http://schemas.openxmlformats.org/officeDocument/2006/relationships" r:id="rId4"/>
          <a:extLst>
            <a:ext uri="{FF2B5EF4-FFF2-40B4-BE49-F238E27FC236}">
              <a16:creationId xmlns="" xmlns:a16="http://schemas.microsoft.com/office/drawing/2014/main" id="{99BE918F-E481-40F4-A3EF-92D1BE46B579}"/>
            </a:ext>
          </a:extLst>
        </xdr:cNvPr>
        <xdr:cNvSpPr/>
      </xdr:nvSpPr>
      <xdr:spPr bwMode="auto">
        <a:xfrm>
          <a:off x="350520" y="17449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895464</xdr:colOff>
      <xdr:row>7</xdr:row>
      <xdr:rowOff>1884188</xdr:rowOff>
    </xdr:to>
    <xdr:sp macro="" textlink="">
      <xdr:nvSpPr>
        <xdr:cNvPr id="22" name="Rounded Rectangle 21">
          <a:hlinkClick xmlns:r="http://schemas.openxmlformats.org/officeDocument/2006/relationships" r:id="rId5"/>
          <a:extLst>
            <a:ext uri="{FF2B5EF4-FFF2-40B4-BE49-F238E27FC236}">
              <a16:creationId xmlns="" xmlns:a16="http://schemas.microsoft.com/office/drawing/2014/main" id="{F8350285-B1C0-4826-87D0-4EF2ACA08512}"/>
            </a:ext>
          </a:extLst>
        </xdr:cNvPr>
        <xdr:cNvSpPr/>
      </xdr:nvSpPr>
      <xdr:spPr bwMode="auto">
        <a:xfrm>
          <a:off x="365760" y="379476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2630805</xdr:rowOff>
    </xdr:from>
    <xdr:to>
      <xdr:col>2</xdr:col>
      <xdr:colOff>912561</xdr:colOff>
      <xdr:row>9</xdr:row>
      <xdr:rowOff>2912745</xdr:rowOff>
    </xdr:to>
    <xdr:sp macro="" textlink="">
      <xdr:nvSpPr>
        <xdr:cNvPr id="23" name="Rounded Rectangle 22">
          <a:hlinkClick xmlns:r="http://schemas.openxmlformats.org/officeDocument/2006/relationships" r:id="rId6"/>
          <a:extLst>
            <a:ext uri="{FF2B5EF4-FFF2-40B4-BE49-F238E27FC236}">
              <a16:creationId xmlns="" xmlns:a16="http://schemas.microsoft.com/office/drawing/2014/main" id="{2EC6E99B-A884-4520-9AB6-6271499A989D}"/>
            </a:ext>
          </a:extLst>
        </xdr:cNvPr>
        <xdr:cNvSpPr/>
      </xdr:nvSpPr>
      <xdr:spPr bwMode="auto">
        <a:xfrm>
          <a:off x="373380" y="74676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11</xdr:row>
      <xdr:rowOff>817245</xdr:rowOff>
    </xdr:from>
    <xdr:to>
      <xdr:col>2</xdr:col>
      <xdr:colOff>895464</xdr:colOff>
      <xdr:row>11</xdr:row>
      <xdr:rowOff>1086703</xdr:rowOff>
    </xdr:to>
    <xdr:sp macro="" textlink="">
      <xdr:nvSpPr>
        <xdr:cNvPr id="24" name="Rounded Rectangle 23">
          <a:hlinkClick xmlns:r="http://schemas.openxmlformats.org/officeDocument/2006/relationships" r:id="rId7"/>
          <a:extLst>
            <a:ext uri="{FF2B5EF4-FFF2-40B4-BE49-F238E27FC236}">
              <a16:creationId xmlns="" xmlns:a16="http://schemas.microsoft.com/office/drawing/2014/main" id="{EBF48D45-C559-49A4-88E9-D0508547244B}"/>
            </a:ext>
          </a:extLst>
        </xdr:cNvPr>
        <xdr:cNvSpPr/>
      </xdr:nvSpPr>
      <xdr:spPr bwMode="auto">
        <a:xfrm>
          <a:off x="365760" y="918972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342900</xdr:rowOff>
    </xdr:from>
    <xdr:to>
      <xdr:col>2</xdr:col>
      <xdr:colOff>934657</xdr:colOff>
      <xdr:row>9</xdr:row>
      <xdr:rowOff>1179284</xdr:rowOff>
    </xdr:to>
    <xdr:sp macro="" textlink="">
      <xdr:nvSpPr>
        <xdr:cNvPr id="25" name="Rounded Rectangle 24">
          <a:hlinkClick xmlns:r="http://schemas.openxmlformats.org/officeDocument/2006/relationships" r:id="rId6"/>
          <a:extLst>
            <a:ext uri="{FF2B5EF4-FFF2-40B4-BE49-F238E27FC236}">
              <a16:creationId xmlns="" xmlns:a16="http://schemas.microsoft.com/office/drawing/2014/main" id="{418CA14F-405C-4AF3-9655-819EB2A644A0}"/>
            </a:ext>
          </a:extLst>
        </xdr:cNvPr>
        <xdr:cNvSpPr/>
      </xdr:nvSpPr>
      <xdr:spPr bwMode="auto">
        <a:xfrm>
          <a:off x="365760" y="5196840"/>
          <a:ext cx="762000" cy="8534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180022</xdr:colOff>
      <xdr:row>15</xdr:row>
      <xdr:rowOff>780097</xdr:rowOff>
    </xdr:from>
    <xdr:to>
      <xdr:col>2</xdr:col>
      <xdr:colOff>897167</xdr:colOff>
      <xdr:row>15</xdr:row>
      <xdr:rowOff>1046520</xdr:rowOff>
    </xdr:to>
    <xdr:sp macro="" textlink="">
      <xdr:nvSpPr>
        <xdr:cNvPr id="26" name="Rounded Rectangle 25">
          <a:hlinkClick xmlns:r="http://schemas.openxmlformats.org/officeDocument/2006/relationships" r:id="rId8"/>
          <a:extLst>
            <a:ext uri="{FF2B5EF4-FFF2-40B4-BE49-F238E27FC236}">
              <a16:creationId xmlns="" xmlns:a16="http://schemas.microsoft.com/office/drawing/2014/main" id="{313EE4D8-A351-45D4-8455-DEECAA66D9B8}"/>
            </a:ext>
          </a:extLst>
        </xdr:cNvPr>
        <xdr:cNvSpPr/>
      </xdr:nvSpPr>
      <xdr:spPr bwMode="auto">
        <a:xfrm>
          <a:off x="350520" y="109728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208597</xdr:colOff>
      <xdr:row>17</xdr:row>
      <xdr:rowOff>570547</xdr:rowOff>
    </xdr:from>
    <xdr:to>
      <xdr:col>2</xdr:col>
      <xdr:colOff>925742</xdr:colOff>
      <xdr:row>17</xdr:row>
      <xdr:rowOff>838486</xdr:rowOff>
    </xdr:to>
    <xdr:sp macro="" textlink="">
      <xdr:nvSpPr>
        <xdr:cNvPr id="27" name="Rounded Rectangle 26">
          <a:hlinkClick xmlns:r="http://schemas.openxmlformats.org/officeDocument/2006/relationships" r:id="rId9"/>
          <a:extLst>
            <a:ext uri="{FF2B5EF4-FFF2-40B4-BE49-F238E27FC236}">
              <a16:creationId xmlns="" xmlns:a16="http://schemas.microsoft.com/office/drawing/2014/main" id="{4C19CE3E-B58D-4880-8839-6A4AA8A68427}"/>
            </a:ext>
          </a:extLst>
        </xdr:cNvPr>
        <xdr:cNvSpPr/>
      </xdr:nvSpPr>
      <xdr:spPr bwMode="auto">
        <a:xfrm>
          <a:off x="388620" y="120777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1998345</xdr:rowOff>
    </xdr:from>
    <xdr:to>
      <xdr:col>2</xdr:col>
      <xdr:colOff>912561</xdr:colOff>
      <xdr:row>19</xdr:row>
      <xdr:rowOff>2287225</xdr:rowOff>
    </xdr:to>
    <xdr:sp macro="" textlink="">
      <xdr:nvSpPr>
        <xdr:cNvPr id="29" name="Rounded Rectangle 28">
          <a:hlinkClick xmlns:r="http://schemas.openxmlformats.org/officeDocument/2006/relationships" r:id="rId10"/>
          <a:extLst>
            <a:ext uri="{FF2B5EF4-FFF2-40B4-BE49-F238E27FC236}">
              <a16:creationId xmlns="" xmlns:a16="http://schemas.microsoft.com/office/drawing/2014/main" id="{FBBAC195-9D07-479C-8E39-45A87CD1CFBB}"/>
            </a:ext>
          </a:extLst>
        </xdr:cNvPr>
        <xdr:cNvSpPr/>
      </xdr:nvSpPr>
      <xdr:spPr bwMode="auto">
        <a:xfrm>
          <a:off x="373380" y="152171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199072</xdr:colOff>
      <xdr:row>21</xdr:row>
      <xdr:rowOff>1448752</xdr:rowOff>
    </xdr:from>
    <xdr:to>
      <xdr:col>2</xdr:col>
      <xdr:colOff>897458</xdr:colOff>
      <xdr:row>21</xdr:row>
      <xdr:rowOff>1735488</xdr:rowOff>
    </xdr:to>
    <xdr:sp macro="" textlink="">
      <xdr:nvSpPr>
        <xdr:cNvPr id="30" name="Rounded Rectangle 29">
          <a:hlinkClick xmlns:r="http://schemas.openxmlformats.org/officeDocument/2006/relationships" r:id="rId11"/>
          <a:extLst>
            <a:ext uri="{FF2B5EF4-FFF2-40B4-BE49-F238E27FC236}">
              <a16:creationId xmlns="" xmlns:a16="http://schemas.microsoft.com/office/drawing/2014/main" id="{F3B7DC58-4393-4141-A257-1B9726736114}"/>
            </a:ext>
          </a:extLst>
        </xdr:cNvPr>
        <xdr:cNvSpPr/>
      </xdr:nvSpPr>
      <xdr:spPr bwMode="auto">
        <a:xfrm>
          <a:off x="358140" y="1785366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23</xdr:row>
      <xdr:rowOff>533400</xdr:rowOff>
    </xdr:from>
    <xdr:to>
      <xdr:col>2</xdr:col>
      <xdr:colOff>912561</xdr:colOff>
      <xdr:row>23</xdr:row>
      <xdr:rowOff>817388</xdr:rowOff>
    </xdr:to>
    <xdr:sp macro="" textlink="">
      <xdr:nvSpPr>
        <xdr:cNvPr id="31" name="Rounded Rectangle 30">
          <a:hlinkClick xmlns:r="http://schemas.openxmlformats.org/officeDocument/2006/relationships" r:id="rId12"/>
          <a:extLst>
            <a:ext uri="{FF2B5EF4-FFF2-40B4-BE49-F238E27FC236}">
              <a16:creationId xmlns="" xmlns:a16="http://schemas.microsoft.com/office/drawing/2014/main" id="{89E6F87B-1006-41F5-BE22-58200E68BB2B}"/>
            </a:ext>
          </a:extLst>
        </xdr:cNvPr>
        <xdr:cNvSpPr/>
      </xdr:nvSpPr>
      <xdr:spPr bwMode="auto">
        <a:xfrm>
          <a:off x="373380" y="192557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1274445</xdr:rowOff>
    </xdr:from>
    <xdr:to>
      <xdr:col>2</xdr:col>
      <xdr:colOff>912561</xdr:colOff>
      <xdr:row>25</xdr:row>
      <xdr:rowOff>1542034</xdr:rowOff>
    </xdr:to>
    <xdr:sp macro="" textlink="">
      <xdr:nvSpPr>
        <xdr:cNvPr id="33" name="Rounded Rectangle 32">
          <a:hlinkClick xmlns:r="http://schemas.openxmlformats.org/officeDocument/2006/relationships" r:id="rId13"/>
          <a:extLst>
            <a:ext uri="{FF2B5EF4-FFF2-40B4-BE49-F238E27FC236}">
              <a16:creationId xmlns="" xmlns:a16="http://schemas.microsoft.com/office/drawing/2014/main" id="{AC37328E-6E5C-4C18-BD46-0B34633DACF2}"/>
            </a:ext>
          </a:extLst>
        </xdr:cNvPr>
        <xdr:cNvSpPr/>
      </xdr:nvSpPr>
      <xdr:spPr bwMode="auto">
        <a:xfrm>
          <a:off x="373380" y="209092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360045</xdr:rowOff>
    </xdr:from>
    <xdr:to>
      <xdr:col>2</xdr:col>
      <xdr:colOff>895464</xdr:colOff>
      <xdr:row>27</xdr:row>
      <xdr:rowOff>647206</xdr:rowOff>
    </xdr:to>
    <xdr:sp macro="" textlink="">
      <xdr:nvSpPr>
        <xdr:cNvPr id="34" name="Rounded Rectangle 33">
          <a:hlinkClick xmlns:r="http://schemas.openxmlformats.org/officeDocument/2006/relationships" r:id="rId14"/>
          <a:extLst>
            <a:ext uri="{FF2B5EF4-FFF2-40B4-BE49-F238E27FC236}">
              <a16:creationId xmlns="" xmlns:a16="http://schemas.microsoft.com/office/drawing/2014/main" id="{D2C01DBE-E297-4ACF-A7D9-9CAB0BE03FA0}"/>
            </a:ext>
          </a:extLst>
        </xdr:cNvPr>
        <xdr:cNvSpPr/>
      </xdr:nvSpPr>
      <xdr:spPr bwMode="auto">
        <a:xfrm>
          <a:off x="365760" y="219760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702945</xdr:rowOff>
    </xdr:from>
    <xdr:to>
      <xdr:col>2</xdr:col>
      <xdr:colOff>912561</xdr:colOff>
      <xdr:row>29</xdr:row>
      <xdr:rowOff>989957</xdr:rowOff>
    </xdr:to>
    <xdr:sp macro="" textlink="">
      <xdr:nvSpPr>
        <xdr:cNvPr id="35" name="Rounded Rectangle 34">
          <a:hlinkClick xmlns:r="http://schemas.openxmlformats.org/officeDocument/2006/relationships" r:id="rId15"/>
          <a:extLst>
            <a:ext uri="{FF2B5EF4-FFF2-40B4-BE49-F238E27FC236}">
              <a16:creationId xmlns="" xmlns:a16="http://schemas.microsoft.com/office/drawing/2014/main" id="{1195DB3E-FA88-4ADB-AE80-4132C8D70FB4}"/>
            </a:ext>
          </a:extLst>
        </xdr:cNvPr>
        <xdr:cNvSpPr/>
      </xdr:nvSpPr>
      <xdr:spPr bwMode="auto">
        <a:xfrm>
          <a:off x="373380" y="230657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200977</xdr:colOff>
      <xdr:row>31</xdr:row>
      <xdr:rowOff>286702</xdr:rowOff>
    </xdr:from>
    <xdr:to>
      <xdr:col>2</xdr:col>
      <xdr:colOff>914482</xdr:colOff>
      <xdr:row>31</xdr:row>
      <xdr:rowOff>573602</xdr:rowOff>
    </xdr:to>
    <xdr:sp macro="" textlink="">
      <xdr:nvSpPr>
        <xdr:cNvPr id="36" name="Rounded Rectangle 35">
          <a:hlinkClick xmlns:r="http://schemas.openxmlformats.org/officeDocument/2006/relationships" r:id="rId16"/>
          <a:extLst>
            <a:ext uri="{FF2B5EF4-FFF2-40B4-BE49-F238E27FC236}">
              <a16:creationId xmlns="" xmlns:a16="http://schemas.microsoft.com/office/drawing/2014/main" id="{D5E92F89-7584-481D-B13B-C4F106283234}"/>
            </a:ext>
          </a:extLst>
        </xdr:cNvPr>
        <xdr:cNvSpPr/>
      </xdr:nvSpPr>
      <xdr:spPr bwMode="auto">
        <a:xfrm>
          <a:off x="381000" y="237363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535305</xdr:rowOff>
    </xdr:from>
    <xdr:to>
      <xdr:col>2</xdr:col>
      <xdr:colOff>895464</xdr:colOff>
      <xdr:row>35</xdr:row>
      <xdr:rowOff>817245</xdr:rowOff>
    </xdr:to>
    <xdr:sp macro="" textlink="">
      <xdr:nvSpPr>
        <xdr:cNvPr id="38" name="Rounded Rectangle 37">
          <a:hlinkClick xmlns:r="http://schemas.openxmlformats.org/officeDocument/2006/relationships" r:id="rId17"/>
          <a:extLst>
            <a:ext uri="{FF2B5EF4-FFF2-40B4-BE49-F238E27FC236}">
              <a16:creationId xmlns="" xmlns:a16="http://schemas.microsoft.com/office/drawing/2014/main" id="{E34C60E0-55F8-401D-9926-98351C6B5DF1}"/>
            </a:ext>
          </a:extLst>
        </xdr:cNvPr>
        <xdr:cNvSpPr/>
      </xdr:nvSpPr>
      <xdr:spPr bwMode="auto">
        <a:xfrm>
          <a:off x="365760" y="251079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37</xdr:row>
      <xdr:rowOff>2583180</xdr:rowOff>
    </xdr:from>
    <xdr:to>
      <xdr:col>2</xdr:col>
      <xdr:colOff>897167</xdr:colOff>
      <xdr:row>37</xdr:row>
      <xdr:rowOff>2874721</xdr:rowOff>
    </xdr:to>
    <xdr:sp macro="" textlink="">
      <xdr:nvSpPr>
        <xdr:cNvPr id="39" name="Rounded Rectangle 38">
          <a:hlinkClick xmlns:r="http://schemas.openxmlformats.org/officeDocument/2006/relationships" r:id="rId18"/>
          <a:extLst>
            <a:ext uri="{FF2B5EF4-FFF2-40B4-BE49-F238E27FC236}">
              <a16:creationId xmlns="" xmlns:a16="http://schemas.microsoft.com/office/drawing/2014/main" id="{20FF7272-D1DE-41BB-85AB-B310E7A8AB74}"/>
            </a:ext>
          </a:extLst>
        </xdr:cNvPr>
        <xdr:cNvSpPr/>
      </xdr:nvSpPr>
      <xdr:spPr bwMode="auto">
        <a:xfrm>
          <a:off x="350520" y="271653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200977</xdr:colOff>
      <xdr:row>39</xdr:row>
      <xdr:rowOff>665797</xdr:rowOff>
    </xdr:from>
    <xdr:to>
      <xdr:col>2</xdr:col>
      <xdr:colOff>914482</xdr:colOff>
      <xdr:row>39</xdr:row>
      <xdr:rowOff>932220</xdr:rowOff>
    </xdr:to>
    <xdr:sp macro="" textlink="">
      <xdr:nvSpPr>
        <xdr:cNvPr id="40" name="Rounded Rectangle 39">
          <a:hlinkClick xmlns:r="http://schemas.openxmlformats.org/officeDocument/2006/relationships" r:id="rId19"/>
          <a:extLst>
            <a:ext uri="{FF2B5EF4-FFF2-40B4-BE49-F238E27FC236}">
              <a16:creationId xmlns="" xmlns:a16="http://schemas.microsoft.com/office/drawing/2014/main" id="{46F27918-75B8-4D41-84B4-FB2535FE63DD}"/>
            </a:ext>
          </a:extLst>
        </xdr:cNvPr>
        <xdr:cNvSpPr/>
      </xdr:nvSpPr>
      <xdr:spPr bwMode="auto">
        <a:xfrm>
          <a:off x="381000" y="288950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200977</xdr:colOff>
      <xdr:row>41</xdr:row>
      <xdr:rowOff>1312545</xdr:rowOff>
    </xdr:from>
    <xdr:to>
      <xdr:col>2</xdr:col>
      <xdr:colOff>914482</xdr:colOff>
      <xdr:row>41</xdr:row>
      <xdr:rowOff>1599557</xdr:rowOff>
    </xdr:to>
    <xdr:sp macro="" textlink="">
      <xdr:nvSpPr>
        <xdr:cNvPr id="41" name="Rounded Rectangle 40">
          <a:hlinkClick xmlns:r="http://schemas.openxmlformats.org/officeDocument/2006/relationships" r:id="rId20"/>
          <a:extLst>
            <a:ext uri="{FF2B5EF4-FFF2-40B4-BE49-F238E27FC236}">
              <a16:creationId xmlns="" xmlns:a16="http://schemas.microsoft.com/office/drawing/2014/main" id="{4336D427-1E76-4DED-B2AF-4C76D95F0F9B}"/>
            </a:ext>
          </a:extLst>
        </xdr:cNvPr>
        <xdr:cNvSpPr/>
      </xdr:nvSpPr>
      <xdr:spPr bwMode="auto">
        <a:xfrm>
          <a:off x="381000" y="307238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44</xdr:row>
      <xdr:rowOff>1067752</xdr:rowOff>
    </xdr:from>
    <xdr:to>
      <xdr:col>2</xdr:col>
      <xdr:colOff>895464</xdr:colOff>
      <xdr:row>44</xdr:row>
      <xdr:rowOff>1354488</xdr:rowOff>
    </xdr:to>
    <xdr:sp macro="" textlink="">
      <xdr:nvSpPr>
        <xdr:cNvPr id="42" name="Rounded Rectangle 41">
          <a:hlinkClick xmlns:r="http://schemas.openxmlformats.org/officeDocument/2006/relationships" r:id="rId21"/>
          <a:extLst>
            <a:ext uri="{FF2B5EF4-FFF2-40B4-BE49-F238E27FC236}">
              <a16:creationId xmlns="" xmlns:a16="http://schemas.microsoft.com/office/drawing/2014/main" id="{E2446814-7608-4563-9C93-186CF950DF87}"/>
            </a:ext>
          </a:extLst>
        </xdr:cNvPr>
        <xdr:cNvSpPr/>
      </xdr:nvSpPr>
      <xdr:spPr bwMode="auto">
        <a:xfrm>
          <a:off x="365760" y="340918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419100</xdr:rowOff>
    </xdr:from>
    <xdr:to>
      <xdr:col>2</xdr:col>
      <xdr:colOff>912561</xdr:colOff>
      <xdr:row>48</xdr:row>
      <xdr:rowOff>705802</xdr:rowOff>
    </xdr:to>
    <xdr:sp macro="" textlink="">
      <xdr:nvSpPr>
        <xdr:cNvPr id="43" name="Rounded Rectangle 42">
          <a:hlinkClick xmlns:r="http://schemas.openxmlformats.org/officeDocument/2006/relationships" r:id="rId22"/>
          <a:extLst>
            <a:ext uri="{FF2B5EF4-FFF2-40B4-BE49-F238E27FC236}">
              <a16:creationId xmlns="" xmlns:a16="http://schemas.microsoft.com/office/drawing/2014/main" id="{B1CFFE60-79B4-4B27-9FAA-6D609E7E5FE9}"/>
            </a:ext>
          </a:extLst>
        </xdr:cNvPr>
        <xdr:cNvSpPr/>
      </xdr:nvSpPr>
      <xdr:spPr bwMode="auto">
        <a:xfrm>
          <a:off x="373380" y="370865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200977</xdr:colOff>
      <xdr:row>50</xdr:row>
      <xdr:rowOff>1464945</xdr:rowOff>
    </xdr:from>
    <xdr:to>
      <xdr:col>2</xdr:col>
      <xdr:colOff>914482</xdr:colOff>
      <xdr:row>50</xdr:row>
      <xdr:rowOff>1732534</xdr:rowOff>
    </xdr:to>
    <xdr:sp macro="" textlink="">
      <xdr:nvSpPr>
        <xdr:cNvPr id="44" name="Rounded Rectangle 43">
          <a:hlinkClick xmlns:r="http://schemas.openxmlformats.org/officeDocument/2006/relationships" r:id="rId23"/>
          <a:extLst>
            <a:ext uri="{FF2B5EF4-FFF2-40B4-BE49-F238E27FC236}">
              <a16:creationId xmlns="" xmlns:a16="http://schemas.microsoft.com/office/drawing/2014/main" id="{43D2987C-E567-447D-8F37-EB21B8E0BCD5}"/>
            </a:ext>
          </a:extLst>
        </xdr:cNvPr>
        <xdr:cNvSpPr/>
      </xdr:nvSpPr>
      <xdr:spPr bwMode="auto">
        <a:xfrm>
          <a:off x="381000" y="3896106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60</xdr:row>
      <xdr:rowOff>1351597</xdr:rowOff>
    </xdr:from>
    <xdr:to>
      <xdr:col>2</xdr:col>
      <xdr:colOff>912561</xdr:colOff>
      <xdr:row>60</xdr:row>
      <xdr:rowOff>1617873</xdr:rowOff>
    </xdr:to>
    <xdr:sp macro="" textlink="">
      <xdr:nvSpPr>
        <xdr:cNvPr id="37" name="Rounded Rectangle 36">
          <a:hlinkClick xmlns:r="http://schemas.openxmlformats.org/officeDocument/2006/relationships" r:id="rId24"/>
          <a:extLst>
            <a:ext uri="{FF2B5EF4-FFF2-40B4-BE49-F238E27FC236}">
              <a16:creationId xmlns="" xmlns:a16="http://schemas.microsoft.com/office/drawing/2014/main" id="{1653D7FE-B016-4C6D-B827-9F8929F5168D}"/>
            </a:ext>
          </a:extLst>
        </xdr:cNvPr>
        <xdr:cNvSpPr/>
      </xdr:nvSpPr>
      <xdr:spPr bwMode="auto">
        <a:xfrm>
          <a:off x="373380" y="455828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62</xdr:row>
      <xdr:rowOff>875347</xdr:rowOff>
    </xdr:from>
    <xdr:to>
      <xdr:col>2</xdr:col>
      <xdr:colOff>912561</xdr:colOff>
      <xdr:row>62</xdr:row>
      <xdr:rowOff>1143127</xdr:rowOff>
    </xdr:to>
    <xdr:sp macro="" textlink="">
      <xdr:nvSpPr>
        <xdr:cNvPr id="45" name="Rounded Rectangle 44">
          <a:hlinkClick xmlns:r="http://schemas.openxmlformats.org/officeDocument/2006/relationships" r:id="rId25"/>
          <a:extLst>
            <a:ext uri="{FF2B5EF4-FFF2-40B4-BE49-F238E27FC236}">
              <a16:creationId xmlns="" xmlns:a16="http://schemas.microsoft.com/office/drawing/2014/main" id="{EE485072-E282-49D8-959C-DD8FA26F3284}"/>
            </a:ext>
          </a:extLst>
        </xdr:cNvPr>
        <xdr:cNvSpPr/>
      </xdr:nvSpPr>
      <xdr:spPr bwMode="auto">
        <a:xfrm>
          <a:off x="373380" y="469392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200977</xdr:colOff>
      <xdr:row>64</xdr:row>
      <xdr:rowOff>914400</xdr:rowOff>
    </xdr:from>
    <xdr:to>
      <xdr:col>2</xdr:col>
      <xdr:colOff>914482</xdr:colOff>
      <xdr:row>64</xdr:row>
      <xdr:rowOff>1201102</xdr:rowOff>
    </xdr:to>
    <xdr:sp macro="" textlink="">
      <xdr:nvSpPr>
        <xdr:cNvPr id="47" name="Rounded Rectangle 46">
          <a:hlinkClick xmlns:r="http://schemas.openxmlformats.org/officeDocument/2006/relationships" r:id="rId26"/>
          <a:extLst>
            <a:ext uri="{FF2B5EF4-FFF2-40B4-BE49-F238E27FC236}">
              <a16:creationId xmlns="" xmlns:a16="http://schemas.microsoft.com/office/drawing/2014/main" id="{FBAD22A9-E965-4E4F-AFF8-602B9EA1B623}"/>
            </a:ext>
          </a:extLst>
        </xdr:cNvPr>
        <xdr:cNvSpPr/>
      </xdr:nvSpPr>
      <xdr:spPr bwMode="auto">
        <a:xfrm>
          <a:off x="381000" y="483031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66</xdr:row>
      <xdr:rowOff>1274445</xdr:rowOff>
    </xdr:from>
    <xdr:to>
      <xdr:col>2</xdr:col>
      <xdr:colOff>895464</xdr:colOff>
      <xdr:row>66</xdr:row>
      <xdr:rowOff>1563357</xdr:rowOff>
    </xdr:to>
    <xdr:sp macro="" textlink="">
      <xdr:nvSpPr>
        <xdr:cNvPr id="48" name="Rounded Rectangle 47">
          <a:hlinkClick xmlns:r="http://schemas.openxmlformats.org/officeDocument/2006/relationships" r:id="rId27"/>
          <a:extLst>
            <a:ext uri="{FF2B5EF4-FFF2-40B4-BE49-F238E27FC236}">
              <a16:creationId xmlns="" xmlns:a16="http://schemas.microsoft.com/office/drawing/2014/main" id="{4A7A0D99-737E-4B2D-B72C-F75D91C6A8CC}"/>
            </a:ext>
          </a:extLst>
        </xdr:cNvPr>
        <xdr:cNvSpPr/>
      </xdr:nvSpPr>
      <xdr:spPr bwMode="auto">
        <a:xfrm>
          <a:off x="365760" y="4997196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200977</xdr:colOff>
      <xdr:row>68</xdr:row>
      <xdr:rowOff>1183005</xdr:rowOff>
    </xdr:from>
    <xdr:to>
      <xdr:col>2</xdr:col>
      <xdr:colOff>914482</xdr:colOff>
      <xdr:row>68</xdr:row>
      <xdr:rowOff>1466993</xdr:rowOff>
    </xdr:to>
    <xdr:sp macro="" textlink="">
      <xdr:nvSpPr>
        <xdr:cNvPr id="49" name="Rounded Rectangle 48">
          <a:hlinkClick xmlns:r="http://schemas.openxmlformats.org/officeDocument/2006/relationships" r:id="rId28"/>
          <a:extLst>
            <a:ext uri="{FF2B5EF4-FFF2-40B4-BE49-F238E27FC236}">
              <a16:creationId xmlns="" xmlns:a16="http://schemas.microsoft.com/office/drawing/2014/main" id="{7E178E23-CB57-4ECC-BC5A-7A8EDE70BB7C}"/>
            </a:ext>
          </a:extLst>
        </xdr:cNvPr>
        <xdr:cNvSpPr/>
      </xdr:nvSpPr>
      <xdr:spPr bwMode="auto">
        <a:xfrm>
          <a:off x="381000" y="518541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227647</xdr:colOff>
      <xdr:row>70</xdr:row>
      <xdr:rowOff>380047</xdr:rowOff>
    </xdr:from>
    <xdr:to>
      <xdr:col>2</xdr:col>
      <xdr:colOff>926033</xdr:colOff>
      <xdr:row>70</xdr:row>
      <xdr:rowOff>646323</xdr:rowOff>
    </xdr:to>
    <xdr:sp macro="" textlink="">
      <xdr:nvSpPr>
        <xdr:cNvPr id="50" name="Rounded Rectangle 49">
          <a:hlinkClick xmlns:r="http://schemas.openxmlformats.org/officeDocument/2006/relationships" r:id="rId29"/>
          <a:extLst>
            <a:ext uri="{FF2B5EF4-FFF2-40B4-BE49-F238E27FC236}">
              <a16:creationId xmlns="" xmlns:a16="http://schemas.microsoft.com/office/drawing/2014/main" id="{41C35BD0-BE14-4DD4-818B-88B1063A7908}"/>
            </a:ext>
          </a:extLst>
        </xdr:cNvPr>
        <xdr:cNvSpPr/>
      </xdr:nvSpPr>
      <xdr:spPr bwMode="auto">
        <a:xfrm>
          <a:off x="396240" y="526846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200977</xdr:colOff>
      <xdr:row>72</xdr:row>
      <xdr:rowOff>951547</xdr:rowOff>
    </xdr:from>
    <xdr:to>
      <xdr:col>2</xdr:col>
      <xdr:colOff>914482</xdr:colOff>
      <xdr:row>72</xdr:row>
      <xdr:rowOff>1219327</xdr:rowOff>
    </xdr:to>
    <xdr:sp macro="" textlink="">
      <xdr:nvSpPr>
        <xdr:cNvPr id="51" name="Rounded Rectangle 50">
          <a:hlinkClick xmlns:r="http://schemas.openxmlformats.org/officeDocument/2006/relationships" r:id="rId30"/>
          <a:extLst>
            <a:ext uri="{FF2B5EF4-FFF2-40B4-BE49-F238E27FC236}">
              <a16:creationId xmlns="" xmlns:a16="http://schemas.microsoft.com/office/drawing/2014/main" id="{1FFC7E06-F76E-46DA-9F24-EF66EE14195F}"/>
            </a:ext>
          </a:extLst>
        </xdr:cNvPr>
        <xdr:cNvSpPr/>
      </xdr:nvSpPr>
      <xdr:spPr bwMode="auto">
        <a:xfrm>
          <a:off x="381000" y="549402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200977</xdr:colOff>
      <xdr:row>74</xdr:row>
      <xdr:rowOff>515302</xdr:rowOff>
    </xdr:from>
    <xdr:to>
      <xdr:col>2</xdr:col>
      <xdr:colOff>914482</xdr:colOff>
      <xdr:row>74</xdr:row>
      <xdr:rowOff>819594</xdr:rowOff>
    </xdr:to>
    <xdr:sp macro="" textlink="">
      <xdr:nvSpPr>
        <xdr:cNvPr id="52" name="Rounded Rectangle 51">
          <a:hlinkClick xmlns:r="http://schemas.openxmlformats.org/officeDocument/2006/relationships" r:id="rId31"/>
          <a:extLst>
            <a:ext uri="{FF2B5EF4-FFF2-40B4-BE49-F238E27FC236}">
              <a16:creationId xmlns="" xmlns:a16="http://schemas.microsoft.com/office/drawing/2014/main" id="{81A7DB7A-EA2C-4579-A691-10F3F1CFD100}"/>
            </a:ext>
          </a:extLst>
        </xdr:cNvPr>
        <xdr:cNvSpPr/>
      </xdr:nvSpPr>
      <xdr:spPr bwMode="auto">
        <a:xfrm>
          <a:off x="381000" y="551230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483870</xdr:colOff>
      <xdr:row>1</xdr:row>
      <xdr:rowOff>210502</xdr:rowOff>
    </xdr:from>
    <xdr:to>
      <xdr:col>19</xdr:col>
      <xdr:colOff>1860</xdr:colOff>
      <xdr:row>2</xdr:row>
      <xdr:rowOff>19833</xdr:rowOff>
    </xdr:to>
    <xdr:sp macro="" textlink="">
      <xdr:nvSpPr>
        <xdr:cNvPr id="5" name="Text Box 474">
          <a:extLst>
            <a:ext uri="{FF2B5EF4-FFF2-40B4-BE49-F238E27FC236}">
              <a16:creationId xmlns="" xmlns:a16="http://schemas.microsoft.com/office/drawing/2014/main" id="{DF00DD1D-ABF2-49F3-8444-F4CF3C09F1FE}"/>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17</xdr:col>
      <xdr:colOff>55245</xdr:colOff>
      <xdr:row>1</xdr:row>
      <xdr:rowOff>40005</xdr:rowOff>
    </xdr:from>
    <xdr:to>
      <xdr:col>18</xdr:col>
      <xdr:colOff>67627</xdr:colOff>
      <xdr:row>1</xdr:row>
      <xdr:rowOff>247651</xdr:rowOff>
    </xdr:to>
    <xdr:sp macro="" textlink="">
      <xdr:nvSpPr>
        <xdr:cNvPr id="6" name="Text Box 706">
          <a:extLst>
            <a:ext uri="{FF2B5EF4-FFF2-40B4-BE49-F238E27FC236}">
              <a16:creationId xmlns="" xmlns:a16="http://schemas.microsoft.com/office/drawing/2014/main" id="{3B2E04C9-9443-42F8-8698-1DE9DCE3287D}"/>
            </a:ext>
          </a:extLst>
        </xdr:cNvPr>
        <xdr:cNvSpPr txBox="1">
          <a:spLocks noChangeArrowheads="1"/>
        </xdr:cNvSpPr>
      </xdr:nvSpPr>
      <xdr:spPr bwMode="auto">
        <a:xfrm>
          <a:off x="9441180" y="129540"/>
          <a:ext cx="57150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66675</xdr:colOff>
      <xdr:row>1</xdr:row>
      <xdr:rowOff>66675</xdr:rowOff>
    </xdr:from>
    <xdr:to>
      <xdr:col>2</xdr:col>
      <xdr:colOff>323850</xdr:colOff>
      <xdr:row>1</xdr:row>
      <xdr:rowOff>428625</xdr:rowOff>
    </xdr:to>
    <xdr:pic>
      <xdr:nvPicPr>
        <xdr:cNvPr id="4590359" name="Picture 7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171450"/>
          <a:ext cx="342900" cy="36195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2</xdr:row>
      <xdr:rowOff>28575</xdr:rowOff>
    </xdr:from>
    <xdr:to>
      <xdr:col>15</xdr:col>
      <xdr:colOff>552450</xdr:colOff>
      <xdr:row>77</xdr:row>
      <xdr:rowOff>152400</xdr:rowOff>
    </xdr:to>
    <xdr:pic>
      <xdr:nvPicPr>
        <xdr:cNvPr id="6007378"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76325"/>
          <a:ext cx="10115550" cy="1298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93</xdr:row>
      <xdr:rowOff>114300</xdr:rowOff>
    </xdr:from>
    <xdr:to>
      <xdr:col>15</xdr:col>
      <xdr:colOff>600075</xdr:colOff>
      <xdr:row>134</xdr:row>
      <xdr:rowOff>47625</xdr:rowOff>
    </xdr:to>
    <xdr:pic>
      <xdr:nvPicPr>
        <xdr:cNvPr id="6007379" name="Picture 2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6764000"/>
          <a:ext cx="10229850" cy="696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458152</xdr:colOff>
      <xdr:row>0</xdr:row>
      <xdr:rowOff>210502</xdr:rowOff>
    </xdr:from>
    <xdr:to>
      <xdr:col>15</xdr:col>
      <xdr:colOff>569577</xdr:colOff>
      <xdr:row>1</xdr:row>
      <xdr:rowOff>38907</xdr:rowOff>
    </xdr:to>
    <xdr:sp macro="" textlink="">
      <xdr:nvSpPr>
        <xdr:cNvPr id="24" name="Text Box 474">
          <a:extLst>
            <a:ext uri="{FF2B5EF4-FFF2-40B4-BE49-F238E27FC236}">
              <a16:creationId xmlns="" xmlns:a16="http://schemas.microsoft.com/office/drawing/2014/main" id="{7ED8BD41-7A78-4700-9967-918D97A3AC0D}"/>
            </a:ext>
          </a:extLst>
        </xdr:cNvPr>
        <xdr:cNvSpPr txBox="1">
          <a:spLocks noChangeArrowheads="1"/>
        </xdr:cNvSpPr>
      </xdr:nvSpPr>
      <xdr:spPr bwMode="auto">
        <a:xfrm>
          <a:off x="8420100" y="205740"/>
          <a:ext cx="209550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14</xdr:col>
      <xdr:colOff>572452</xdr:colOff>
      <xdr:row>0</xdr:row>
      <xdr:rowOff>40005</xdr:rowOff>
    </xdr:from>
    <xdr:to>
      <xdr:col>15</xdr:col>
      <xdr:colOff>573459</xdr:colOff>
      <xdr:row>0</xdr:row>
      <xdr:rowOff>230505</xdr:rowOff>
    </xdr:to>
    <xdr:sp macro="" textlink="">
      <xdr:nvSpPr>
        <xdr:cNvPr id="25" name="Text Box 706">
          <a:extLst>
            <a:ext uri="{FF2B5EF4-FFF2-40B4-BE49-F238E27FC236}">
              <a16:creationId xmlns="" xmlns:a16="http://schemas.microsoft.com/office/drawing/2014/main" id="{D1F47422-7C92-4600-8CA9-D5B758755358}"/>
            </a:ext>
          </a:extLst>
        </xdr:cNvPr>
        <xdr:cNvSpPr txBox="1">
          <a:spLocks noChangeArrowheads="1"/>
        </xdr:cNvSpPr>
      </xdr:nvSpPr>
      <xdr:spPr bwMode="auto">
        <a:xfrm>
          <a:off x="9860280" y="30480"/>
          <a:ext cx="670560" cy="20002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0</xdr:col>
      <xdr:colOff>76200</xdr:colOff>
      <xdr:row>0</xdr:row>
      <xdr:rowOff>66675</xdr:rowOff>
    </xdr:from>
    <xdr:to>
      <xdr:col>0</xdr:col>
      <xdr:colOff>619125</xdr:colOff>
      <xdr:row>0</xdr:row>
      <xdr:rowOff>552450</xdr:rowOff>
    </xdr:to>
    <xdr:pic>
      <xdr:nvPicPr>
        <xdr:cNvPr id="6007382" name="Picture 71">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0" y="66675"/>
          <a:ext cx="542925" cy="485775"/>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445771</xdr:colOff>
      <xdr:row>3</xdr:row>
      <xdr:rowOff>39297</xdr:rowOff>
    </xdr:from>
    <xdr:to>
      <xdr:col>5</xdr:col>
      <xdr:colOff>104540</xdr:colOff>
      <xdr:row>5</xdr:row>
      <xdr:rowOff>112553</xdr:rowOff>
    </xdr:to>
    <xdr:sp macro="" textlink="">
      <xdr:nvSpPr>
        <xdr:cNvPr id="2" name="TextBox 1">
          <a:extLst>
            <a:ext uri="{FF2B5EF4-FFF2-40B4-BE49-F238E27FC236}">
              <a16:creationId xmlns="" xmlns:a16="http://schemas.microsoft.com/office/drawing/2014/main" id="{A59E622C-0194-4A8E-9C40-45F389B55522}"/>
            </a:ext>
          </a:extLst>
        </xdr:cNvPr>
        <xdr:cNvSpPr txBox="1"/>
      </xdr:nvSpPr>
      <xdr:spPr>
        <a:xfrm>
          <a:off x="1120141" y="1169915"/>
          <a:ext cx="2274676" cy="4150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u="sng">
              <a:latin typeface="+mn-lt"/>
            </a:rPr>
            <a:t>Example Audit 1a:</a:t>
          </a:r>
        </a:p>
      </xdr:txBody>
    </xdr:sp>
    <xdr:clientData/>
  </xdr:twoCellAnchor>
  <xdr:twoCellAnchor editAs="oneCell">
    <xdr:from>
      <xdr:col>0</xdr:col>
      <xdr:colOff>95250</xdr:colOff>
      <xdr:row>164</xdr:row>
      <xdr:rowOff>0</xdr:rowOff>
    </xdr:from>
    <xdr:to>
      <xdr:col>15</xdr:col>
      <xdr:colOff>590550</xdr:colOff>
      <xdr:row>238</xdr:row>
      <xdr:rowOff>28575</xdr:rowOff>
    </xdr:to>
    <xdr:pic>
      <xdr:nvPicPr>
        <xdr:cNvPr id="6007384"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28822650"/>
          <a:ext cx="10210800" cy="127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247</xdr:row>
      <xdr:rowOff>38100</xdr:rowOff>
    </xdr:from>
    <xdr:to>
      <xdr:col>15</xdr:col>
      <xdr:colOff>638175</xdr:colOff>
      <xdr:row>285</xdr:row>
      <xdr:rowOff>123825</xdr:rowOff>
    </xdr:to>
    <xdr:pic>
      <xdr:nvPicPr>
        <xdr:cNvPr id="6007385"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43091100"/>
          <a:ext cx="10277475" cy="660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1</xdr:row>
      <xdr:rowOff>75247</xdr:rowOff>
    </xdr:from>
    <xdr:to>
      <xdr:col>3</xdr:col>
      <xdr:colOff>638203</xdr:colOff>
      <xdr:row>1</xdr:row>
      <xdr:rowOff>401214</xdr:rowOff>
    </xdr:to>
    <xdr:sp macro="" textlink="">
      <xdr:nvSpPr>
        <xdr:cNvPr id="13" name="Rounded Rectangle 12">
          <a:hlinkClick xmlns:r="http://schemas.openxmlformats.org/officeDocument/2006/relationships" r:id="rId7"/>
          <a:extLst>
            <a:ext uri="{FF2B5EF4-FFF2-40B4-BE49-F238E27FC236}">
              <a16:creationId xmlns="" xmlns:a16="http://schemas.microsoft.com/office/drawing/2014/main" id="{E575BBB6-D508-4772-9E6E-9C48474E423D}"/>
            </a:ext>
          </a:extLst>
        </xdr:cNvPr>
        <xdr:cNvSpPr/>
      </xdr:nvSpPr>
      <xdr:spPr>
        <a:xfrm>
          <a:off x="594360" y="762000"/>
          <a:ext cx="2034540" cy="335280"/>
        </a:xfrm>
        <a:prstGeom prst="roundRect">
          <a:avLst/>
        </a:prstGeom>
        <a:ln w="12700"/>
        <a:effectLst>
          <a:outerShdw blurRad="63500" dist="381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tIns="9144" bIns="9144" rtlCol="0" anchor="t"/>
        <a:lstStyle/>
        <a:p>
          <a:pPr algn="ctr">
            <a:lnSpc>
              <a:spcPts val="1100"/>
            </a:lnSpc>
          </a:pPr>
          <a:r>
            <a:rPr lang="en-US" sz="1000" b="1"/>
            <a:t>Example 1a</a:t>
          </a:r>
          <a:r>
            <a:rPr lang="en-US" sz="1000"/>
            <a:t>: Million</a:t>
          </a:r>
          <a:r>
            <a:rPr lang="en-US" sz="1000" baseline="0"/>
            <a:t> Gallons: </a:t>
          </a:r>
        </a:p>
        <a:p>
          <a:pPr algn="ctr">
            <a:lnSpc>
              <a:spcPts val="1100"/>
            </a:lnSpc>
          </a:pPr>
          <a:r>
            <a:rPr lang="en-US" sz="1000" baseline="0"/>
            <a:t>Reporting Worksheet</a:t>
          </a:r>
          <a:endParaRPr lang="en-US" sz="1000"/>
        </a:p>
      </xdr:txBody>
    </xdr:sp>
    <xdr:clientData/>
  </xdr:twoCellAnchor>
  <xdr:twoCellAnchor>
    <xdr:from>
      <xdr:col>4</xdr:col>
      <xdr:colOff>200977</xdr:colOff>
      <xdr:row>1</xdr:row>
      <xdr:rowOff>78105</xdr:rowOff>
    </xdr:from>
    <xdr:to>
      <xdr:col>7</xdr:col>
      <xdr:colOff>40045</xdr:colOff>
      <xdr:row>1</xdr:row>
      <xdr:rowOff>421005</xdr:rowOff>
    </xdr:to>
    <xdr:sp macro="" textlink="">
      <xdr:nvSpPr>
        <xdr:cNvPr id="16" name="Rounded Rectangle 15">
          <a:hlinkClick xmlns:r="http://schemas.openxmlformats.org/officeDocument/2006/relationships" r:id="rId8"/>
          <a:extLst>
            <a:ext uri="{FF2B5EF4-FFF2-40B4-BE49-F238E27FC236}">
              <a16:creationId xmlns="" xmlns:a16="http://schemas.microsoft.com/office/drawing/2014/main" id="{A5032887-C888-42FE-9757-7BDE4F68A2CB}"/>
            </a:ext>
          </a:extLst>
        </xdr:cNvPr>
        <xdr:cNvSpPr/>
      </xdr:nvSpPr>
      <xdr:spPr>
        <a:xfrm>
          <a:off x="2849880" y="769620"/>
          <a:ext cx="1821180" cy="342900"/>
        </a:xfrm>
        <a:prstGeom prst="roundRect">
          <a:avLst/>
        </a:prstGeom>
        <a:ln w="12700"/>
        <a:effectLst>
          <a:outerShdw blurRad="63500" dist="381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tIns="9144" bIns="9144" rtlCol="0" anchor="t"/>
        <a:lstStyle/>
        <a:p>
          <a:pPr algn="ctr">
            <a:lnSpc>
              <a:spcPts val="1100"/>
            </a:lnSpc>
          </a:pPr>
          <a:r>
            <a:rPr lang="en-US" sz="1000" b="1"/>
            <a:t>Example 1b</a:t>
          </a:r>
          <a:r>
            <a:rPr lang="en-US" sz="1000"/>
            <a:t>: Million</a:t>
          </a:r>
          <a:r>
            <a:rPr lang="en-US" sz="1000" baseline="0"/>
            <a:t> Gallons:</a:t>
          </a:r>
        </a:p>
        <a:p>
          <a:pPr algn="ctr">
            <a:lnSpc>
              <a:spcPts val="1100"/>
            </a:lnSpc>
          </a:pPr>
          <a:r>
            <a:rPr lang="en-US" sz="1000" baseline="0"/>
            <a:t>Performance Indicators</a:t>
          </a:r>
          <a:endParaRPr lang="en-US" sz="1000"/>
        </a:p>
      </xdr:txBody>
    </xdr:sp>
    <xdr:clientData/>
  </xdr:twoCellAnchor>
  <xdr:twoCellAnchor>
    <xdr:from>
      <xdr:col>9</xdr:col>
      <xdr:colOff>40005</xdr:colOff>
      <xdr:row>1</xdr:row>
      <xdr:rowOff>58102</xdr:rowOff>
    </xdr:from>
    <xdr:to>
      <xdr:col>12</xdr:col>
      <xdr:colOff>103777</xdr:colOff>
      <xdr:row>1</xdr:row>
      <xdr:rowOff>421030</xdr:rowOff>
    </xdr:to>
    <xdr:sp macro="" textlink="">
      <xdr:nvSpPr>
        <xdr:cNvPr id="17" name="Rounded Rectangle 16">
          <a:hlinkClick xmlns:r="http://schemas.openxmlformats.org/officeDocument/2006/relationships" r:id="rId9"/>
          <a:extLst>
            <a:ext uri="{FF2B5EF4-FFF2-40B4-BE49-F238E27FC236}">
              <a16:creationId xmlns="" xmlns:a16="http://schemas.microsoft.com/office/drawing/2014/main" id="{F8C7BB16-6846-4F88-93AE-E4EA441A1B5F}"/>
            </a:ext>
          </a:extLst>
        </xdr:cNvPr>
        <xdr:cNvSpPr/>
      </xdr:nvSpPr>
      <xdr:spPr>
        <a:xfrm>
          <a:off x="5996940" y="754380"/>
          <a:ext cx="2049780" cy="358140"/>
        </a:xfrm>
        <a:prstGeom prst="roundRect">
          <a:avLst/>
        </a:prstGeom>
        <a:ln w="12700"/>
        <a:effectLst>
          <a:outerShdw blurRad="63500" dist="381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tIns="9144" bIns="9144" rtlCol="0" anchor="t"/>
        <a:lstStyle/>
        <a:p>
          <a:pPr algn="ctr">
            <a:lnSpc>
              <a:spcPts val="1100"/>
            </a:lnSpc>
          </a:pPr>
          <a:r>
            <a:rPr lang="en-US" sz="1000" b="1"/>
            <a:t>Example 2a</a:t>
          </a:r>
          <a:r>
            <a:rPr lang="en-US" sz="1000"/>
            <a:t>: Megalitres:</a:t>
          </a:r>
        </a:p>
        <a:p>
          <a:pPr algn="ctr">
            <a:lnSpc>
              <a:spcPts val="1100"/>
            </a:lnSpc>
          </a:pPr>
          <a:r>
            <a:rPr lang="en-US" sz="1000" baseline="0"/>
            <a:t> Reporting Worksheet</a:t>
          </a:r>
          <a:endParaRPr lang="en-US" sz="1000"/>
        </a:p>
      </xdr:txBody>
    </xdr:sp>
    <xdr:clientData/>
  </xdr:twoCellAnchor>
  <xdr:twoCellAnchor>
    <xdr:from>
      <xdr:col>12</xdr:col>
      <xdr:colOff>265747</xdr:colOff>
      <xdr:row>1</xdr:row>
      <xdr:rowOff>75247</xdr:rowOff>
    </xdr:from>
    <xdr:to>
      <xdr:col>15</xdr:col>
      <xdr:colOff>37147</xdr:colOff>
      <xdr:row>1</xdr:row>
      <xdr:rowOff>419326</xdr:rowOff>
    </xdr:to>
    <xdr:sp macro="" textlink="">
      <xdr:nvSpPr>
        <xdr:cNvPr id="18" name="Rounded Rectangle 17">
          <a:hlinkClick xmlns:r="http://schemas.openxmlformats.org/officeDocument/2006/relationships" r:id="rId10"/>
          <a:extLst>
            <a:ext uri="{FF2B5EF4-FFF2-40B4-BE49-F238E27FC236}">
              <a16:creationId xmlns="" xmlns:a16="http://schemas.microsoft.com/office/drawing/2014/main" id="{C8F927EB-0E3E-4E12-A780-282A4E7BCAF5}"/>
            </a:ext>
          </a:extLst>
        </xdr:cNvPr>
        <xdr:cNvSpPr/>
      </xdr:nvSpPr>
      <xdr:spPr>
        <a:xfrm>
          <a:off x="8206740" y="762000"/>
          <a:ext cx="1760220" cy="358140"/>
        </a:xfrm>
        <a:prstGeom prst="roundRect">
          <a:avLst/>
        </a:prstGeom>
        <a:ln w="12700"/>
        <a:effectLst>
          <a:outerShdw blurRad="63500" dist="381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tIns="9144" bIns="9144" rtlCol="0" anchor="t"/>
        <a:lstStyle/>
        <a:p>
          <a:pPr algn="ctr">
            <a:lnSpc>
              <a:spcPts val="1100"/>
            </a:lnSpc>
          </a:pPr>
          <a:r>
            <a:rPr lang="en-US" sz="1000" b="1"/>
            <a:t>Example 2b</a:t>
          </a:r>
          <a:r>
            <a:rPr lang="en-US" sz="1000"/>
            <a:t>: Megalitres:</a:t>
          </a:r>
        </a:p>
        <a:p>
          <a:pPr algn="ctr">
            <a:lnSpc>
              <a:spcPts val="1100"/>
            </a:lnSpc>
          </a:pPr>
          <a:r>
            <a:rPr lang="en-US" sz="1000" baseline="0"/>
            <a:t>Reporting Worksheet</a:t>
          </a:r>
          <a:endParaRPr lang="en-US" sz="1000"/>
        </a:p>
      </xdr:txBody>
    </xdr:sp>
    <xdr:clientData/>
  </xdr:twoCellAnchor>
  <xdr:twoCellAnchor>
    <xdr:from>
      <xdr:col>1</xdr:col>
      <xdr:colOff>227647</xdr:colOff>
      <xdr:row>94</xdr:row>
      <xdr:rowOff>93986</xdr:rowOff>
    </xdr:from>
    <xdr:to>
      <xdr:col>4</xdr:col>
      <xdr:colOff>497342</xdr:colOff>
      <xdr:row>96</xdr:row>
      <xdr:rowOff>170238</xdr:rowOff>
    </xdr:to>
    <xdr:sp macro="" textlink="">
      <xdr:nvSpPr>
        <xdr:cNvPr id="19" name="TextBox 18">
          <a:extLst>
            <a:ext uri="{FF2B5EF4-FFF2-40B4-BE49-F238E27FC236}">
              <a16:creationId xmlns="" xmlns:a16="http://schemas.microsoft.com/office/drawing/2014/main" id="{9E3ADEDA-1206-4BA6-8EDB-64D0F430F709}"/>
            </a:ext>
          </a:extLst>
        </xdr:cNvPr>
        <xdr:cNvSpPr txBox="1"/>
      </xdr:nvSpPr>
      <xdr:spPr>
        <a:xfrm>
          <a:off x="876300" y="17358049"/>
          <a:ext cx="2274676" cy="4150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u="sng">
              <a:latin typeface="+mn-lt"/>
            </a:rPr>
            <a:t>Example Audit 1b:</a:t>
          </a:r>
        </a:p>
      </xdr:txBody>
    </xdr:sp>
    <xdr:clientData/>
  </xdr:twoCellAnchor>
  <xdr:twoCellAnchor>
    <xdr:from>
      <xdr:col>1</xdr:col>
      <xdr:colOff>409577</xdr:colOff>
      <xdr:row>164</xdr:row>
      <xdr:rowOff>134302</xdr:rowOff>
    </xdr:from>
    <xdr:to>
      <xdr:col>5</xdr:col>
      <xdr:colOff>39117</xdr:colOff>
      <xdr:row>167</xdr:row>
      <xdr:rowOff>20777</xdr:rowOff>
    </xdr:to>
    <xdr:sp macro="" textlink="">
      <xdr:nvSpPr>
        <xdr:cNvPr id="20" name="TextBox 19">
          <a:extLst>
            <a:ext uri="{FF2B5EF4-FFF2-40B4-BE49-F238E27FC236}">
              <a16:creationId xmlns="" xmlns:a16="http://schemas.microsoft.com/office/drawing/2014/main" id="{D4789A71-E5B2-4EB4-87E8-EEBAF8A88438}"/>
            </a:ext>
          </a:extLst>
        </xdr:cNvPr>
        <xdr:cNvSpPr txBox="1"/>
      </xdr:nvSpPr>
      <xdr:spPr>
        <a:xfrm>
          <a:off x="1074422" y="29657040"/>
          <a:ext cx="2274676" cy="4150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u="sng">
              <a:latin typeface="+mn-lt"/>
            </a:rPr>
            <a:t>Example Audit 2a:</a:t>
          </a:r>
        </a:p>
      </xdr:txBody>
    </xdr:sp>
    <xdr:clientData/>
  </xdr:twoCellAnchor>
  <xdr:twoCellAnchor>
    <xdr:from>
      <xdr:col>1</xdr:col>
      <xdr:colOff>227647</xdr:colOff>
      <xdr:row>247</xdr:row>
      <xdr:rowOff>150495</xdr:rowOff>
    </xdr:from>
    <xdr:to>
      <xdr:col>4</xdr:col>
      <xdr:colOff>497342</xdr:colOff>
      <xdr:row>250</xdr:row>
      <xdr:rowOff>58981</xdr:rowOff>
    </xdr:to>
    <xdr:sp macro="" textlink="">
      <xdr:nvSpPr>
        <xdr:cNvPr id="21" name="TextBox 20">
          <a:extLst>
            <a:ext uri="{FF2B5EF4-FFF2-40B4-BE49-F238E27FC236}">
              <a16:creationId xmlns="" xmlns:a16="http://schemas.microsoft.com/office/drawing/2014/main" id="{F18BF3CD-B068-4F1A-BEEB-2785F66C8925}"/>
            </a:ext>
          </a:extLst>
        </xdr:cNvPr>
        <xdr:cNvSpPr txBox="1"/>
      </xdr:nvSpPr>
      <xdr:spPr>
        <a:xfrm>
          <a:off x="876300" y="44241720"/>
          <a:ext cx="2274676" cy="4150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u="sng">
              <a:latin typeface="+mn-lt"/>
            </a:rPr>
            <a:t>Example Audit 2b:</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124777</xdr:colOff>
      <xdr:row>22</xdr:row>
      <xdr:rowOff>952</xdr:rowOff>
    </xdr:from>
    <xdr:to>
      <xdr:col>3</xdr:col>
      <xdr:colOff>344475</xdr:colOff>
      <xdr:row>22</xdr:row>
      <xdr:rowOff>134278</xdr:rowOff>
    </xdr:to>
    <xdr:sp macro="" textlink="">
      <xdr:nvSpPr>
        <xdr:cNvPr id="33793" name="Text Box 1">
          <a:hlinkClick xmlns:r="http://schemas.openxmlformats.org/officeDocument/2006/relationships" r:id="rId1"/>
          <a:extLst>
            <a:ext uri="{FF2B5EF4-FFF2-40B4-BE49-F238E27FC236}">
              <a16:creationId xmlns="" xmlns:a16="http://schemas.microsoft.com/office/drawing/2014/main" id="{13C3C7C9-85D1-4EF4-8F07-6845A34E5DB3}"/>
            </a:ext>
          </a:extLst>
        </xdr:cNvPr>
        <xdr:cNvSpPr txBox="1">
          <a:spLocks noChangeArrowheads="1"/>
        </xdr:cNvSpPr>
      </xdr:nvSpPr>
      <xdr:spPr bwMode="auto">
        <a:xfrm>
          <a:off x="4152900" y="320992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23</xdr:row>
      <xdr:rowOff>0</xdr:rowOff>
    </xdr:from>
    <xdr:to>
      <xdr:col>3</xdr:col>
      <xdr:colOff>334923</xdr:colOff>
      <xdr:row>23</xdr:row>
      <xdr:rowOff>152400</xdr:rowOff>
    </xdr:to>
    <xdr:sp macro="" textlink="">
      <xdr:nvSpPr>
        <xdr:cNvPr id="33794" name="Text Box 2">
          <a:hlinkClick xmlns:r="http://schemas.openxmlformats.org/officeDocument/2006/relationships" r:id="rId2"/>
          <a:extLst>
            <a:ext uri="{FF2B5EF4-FFF2-40B4-BE49-F238E27FC236}">
              <a16:creationId xmlns="" xmlns:a16="http://schemas.microsoft.com/office/drawing/2014/main" id="{2DDE1723-CB89-465B-BE42-022E531FF96E}"/>
            </a:ext>
          </a:extLst>
        </xdr:cNvPr>
        <xdr:cNvSpPr txBox="1">
          <a:spLocks noChangeArrowheads="1"/>
        </xdr:cNvSpPr>
      </xdr:nvSpPr>
      <xdr:spPr bwMode="auto">
        <a:xfrm>
          <a:off x="4152900" y="339090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25</xdr:row>
      <xdr:rowOff>19050</xdr:rowOff>
    </xdr:from>
    <xdr:to>
      <xdr:col>3</xdr:col>
      <xdr:colOff>334923</xdr:colOff>
      <xdr:row>25</xdr:row>
      <xdr:rowOff>173372</xdr:rowOff>
    </xdr:to>
    <xdr:sp macro="" textlink="">
      <xdr:nvSpPr>
        <xdr:cNvPr id="33795" name="Text Box 3">
          <a:hlinkClick xmlns:r="http://schemas.openxmlformats.org/officeDocument/2006/relationships" r:id="rId3"/>
          <a:extLst>
            <a:ext uri="{FF2B5EF4-FFF2-40B4-BE49-F238E27FC236}">
              <a16:creationId xmlns="" xmlns:a16="http://schemas.microsoft.com/office/drawing/2014/main" id="{12FF8FC9-8815-442B-AA57-1D71E23CF22B}"/>
            </a:ext>
          </a:extLst>
        </xdr:cNvPr>
        <xdr:cNvSpPr txBox="1">
          <a:spLocks noChangeArrowheads="1"/>
        </xdr:cNvSpPr>
      </xdr:nvSpPr>
      <xdr:spPr bwMode="auto">
        <a:xfrm>
          <a:off x="4152900" y="375285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13</xdr:row>
      <xdr:rowOff>19050</xdr:rowOff>
    </xdr:from>
    <xdr:to>
      <xdr:col>3</xdr:col>
      <xdr:colOff>334923</xdr:colOff>
      <xdr:row>14</xdr:row>
      <xdr:rowOff>1922</xdr:rowOff>
    </xdr:to>
    <xdr:sp macro="" textlink="">
      <xdr:nvSpPr>
        <xdr:cNvPr id="33796" name="Text Box 4">
          <a:hlinkClick xmlns:r="http://schemas.openxmlformats.org/officeDocument/2006/relationships" r:id="rId4"/>
          <a:extLst>
            <a:ext uri="{FF2B5EF4-FFF2-40B4-BE49-F238E27FC236}">
              <a16:creationId xmlns="" xmlns:a16="http://schemas.microsoft.com/office/drawing/2014/main" id="{CD2B8414-C832-4F76-9650-36FAECE27C8C}"/>
            </a:ext>
          </a:extLst>
        </xdr:cNvPr>
        <xdr:cNvSpPr txBox="1">
          <a:spLocks noChangeArrowheads="1"/>
        </xdr:cNvSpPr>
      </xdr:nvSpPr>
      <xdr:spPr bwMode="auto">
        <a:xfrm>
          <a:off x="4152900" y="199072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24</xdr:row>
      <xdr:rowOff>19050</xdr:rowOff>
    </xdr:from>
    <xdr:to>
      <xdr:col>3</xdr:col>
      <xdr:colOff>334923</xdr:colOff>
      <xdr:row>24</xdr:row>
      <xdr:rowOff>152400</xdr:rowOff>
    </xdr:to>
    <xdr:sp macro="" textlink="">
      <xdr:nvSpPr>
        <xdr:cNvPr id="33797" name="Text Box 5">
          <a:hlinkClick xmlns:r="http://schemas.openxmlformats.org/officeDocument/2006/relationships" r:id="rId5"/>
          <a:extLst>
            <a:ext uri="{FF2B5EF4-FFF2-40B4-BE49-F238E27FC236}">
              <a16:creationId xmlns="" xmlns:a16="http://schemas.microsoft.com/office/drawing/2014/main" id="{EC0FE17F-076D-4815-A8F3-FCA276829335}"/>
            </a:ext>
          </a:extLst>
        </xdr:cNvPr>
        <xdr:cNvSpPr txBox="1">
          <a:spLocks noChangeArrowheads="1"/>
        </xdr:cNvSpPr>
      </xdr:nvSpPr>
      <xdr:spPr bwMode="auto">
        <a:xfrm>
          <a:off x="4152900" y="357187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86677</xdr:colOff>
      <xdr:row>3</xdr:row>
      <xdr:rowOff>96202</xdr:rowOff>
    </xdr:from>
    <xdr:to>
      <xdr:col>2</xdr:col>
      <xdr:colOff>305752</xdr:colOff>
      <xdr:row>4</xdr:row>
      <xdr:rowOff>58078</xdr:rowOff>
    </xdr:to>
    <xdr:sp macro="" textlink="">
      <xdr:nvSpPr>
        <xdr:cNvPr id="33798" name="Text Box 6">
          <a:extLst>
            <a:ext uri="{FF2B5EF4-FFF2-40B4-BE49-F238E27FC236}">
              <a16:creationId xmlns="" xmlns:a16="http://schemas.microsoft.com/office/drawing/2014/main" id="{17513CEF-19A8-4684-89E2-76E0AB7F5B7A}"/>
            </a:ext>
          </a:extLst>
        </xdr:cNvPr>
        <xdr:cNvSpPr txBox="1">
          <a:spLocks noChangeArrowheads="1"/>
        </xdr:cNvSpPr>
      </xdr:nvSpPr>
      <xdr:spPr bwMode="auto">
        <a:xfrm>
          <a:off x="257175" y="75247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372427</xdr:colOff>
      <xdr:row>3</xdr:row>
      <xdr:rowOff>76200</xdr:rowOff>
    </xdr:from>
    <xdr:to>
      <xdr:col>2</xdr:col>
      <xdr:colOff>1744027</xdr:colOff>
      <xdr:row>4</xdr:row>
      <xdr:rowOff>76200</xdr:rowOff>
    </xdr:to>
    <xdr:sp macro="" textlink="">
      <xdr:nvSpPr>
        <xdr:cNvPr id="33799" name="Text Box 7">
          <a:extLst>
            <a:ext uri="{FF2B5EF4-FFF2-40B4-BE49-F238E27FC236}">
              <a16:creationId xmlns="" xmlns:a16="http://schemas.microsoft.com/office/drawing/2014/main" id="{44029C9C-F446-4CFF-824F-F8A9645FF450}"/>
            </a:ext>
          </a:extLst>
        </xdr:cNvPr>
        <xdr:cNvSpPr txBox="1">
          <a:spLocks noChangeArrowheads="1"/>
        </xdr:cNvSpPr>
      </xdr:nvSpPr>
      <xdr:spPr bwMode="auto">
        <a:xfrm>
          <a:off x="533400" y="742950"/>
          <a:ext cx="1371600" cy="17145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Click to access definition</a:t>
          </a:r>
        </a:p>
      </xdr:txBody>
    </xdr:sp>
    <xdr:clientData/>
  </xdr:twoCellAnchor>
  <xdr:twoCellAnchor>
    <xdr:from>
      <xdr:col>3</xdr:col>
      <xdr:colOff>124777</xdr:colOff>
      <xdr:row>62</xdr:row>
      <xdr:rowOff>38100</xdr:rowOff>
    </xdr:from>
    <xdr:to>
      <xdr:col>3</xdr:col>
      <xdr:colOff>343852</xdr:colOff>
      <xdr:row>63</xdr:row>
      <xdr:rowOff>0</xdr:rowOff>
    </xdr:to>
    <xdr:sp macro="" textlink="">
      <xdr:nvSpPr>
        <xdr:cNvPr id="33800" name="Text Box 8">
          <a:hlinkClick xmlns:r="http://schemas.openxmlformats.org/officeDocument/2006/relationships" r:id="rId6"/>
          <a:extLst>
            <a:ext uri="{FF2B5EF4-FFF2-40B4-BE49-F238E27FC236}">
              <a16:creationId xmlns="" xmlns:a16="http://schemas.microsoft.com/office/drawing/2014/main" id="{4F64F72D-80B9-4396-8892-D681563E7FE1}"/>
            </a:ext>
          </a:extLst>
        </xdr:cNvPr>
        <xdr:cNvSpPr txBox="1">
          <a:spLocks noChangeArrowheads="1"/>
        </xdr:cNvSpPr>
      </xdr:nvSpPr>
      <xdr:spPr bwMode="auto">
        <a:xfrm>
          <a:off x="4143375" y="826770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61</xdr:row>
      <xdr:rowOff>19050</xdr:rowOff>
    </xdr:from>
    <xdr:to>
      <xdr:col>3</xdr:col>
      <xdr:colOff>334923</xdr:colOff>
      <xdr:row>62</xdr:row>
      <xdr:rowOff>1922</xdr:rowOff>
    </xdr:to>
    <xdr:sp macro="" textlink="">
      <xdr:nvSpPr>
        <xdr:cNvPr id="33801" name="Text Box 9">
          <a:hlinkClick xmlns:r="http://schemas.openxmlformats.org/officeDocument/2006/relationships" r:id="rId7"/>
          <a:extLst>
            <a:ext uri="{FF2B5EF4-FFF2-40B4-BE49-F238E27FC236}">
              <a16:creationId xmlns="" xmlns:a16="http://schemas.microsoft.com/office/drawing/2014/main" id="{48D000F7-4B71-4726-860D-E7520C81D3C1}"/>
            </a:ext>
          </a:extLst>
        </xdr:cNvPr>
        <xdr:cNvSpPr txBox="1">
          <a:spLocks noChangeArrowheads="1"/>
        </xdr:cNvSpPr>
      </xdr:nvSpPr>
      <xdr:spPr bwMode="auto">
        <a:xfrm>
          <a:off x="4143375" y="808672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42</xdr:row>
      <xdr:rowOff>38100</xdr:rowOff>
    </xdr:from>
    <xdr:to>
      <xdr:col>3</xdr:col>
      <xdr:colOff>344475</xdr:colOff>
      <xdr:row>43</xdr:row>
      <xdr:rowOff>0</xdr:rowOff>
    </xdr:to>
    <xdr:sp macro="" textlink="">
      <xdr:nvSpPr>
        <xdr:cNvPr id="33802" name="Text Box 10">
          <a:hlinkClick xmlns:r="http://schemas.openxmlformats.org/officeDocument/2006/relationships" r:id="rId8"/>
          <a:extLst>
            <a:ext uri="{FF2B5EF4-FFF2-40B4-BE49-F238E27FC236}">
              <a16:creationId xmlns="" xmlns:a16="http://schemas.microsoft.com/office/drawing/2014/main" id="{87FB1E1A-3AA1-40BB-A3A4-67B255F2AD31}"/>
            </a:ext>
          </a:extLst>
        </xdr:cNvPr>
        <xdr:cNvSpPr txBox="1">
          <a:spLocks noChangeArrowheads="1"/>
        </xdr:cNvSpPr>
      </xdr:nvSpPr>
      <xdr:spPr bwMode="auto">
        <a:xfrm>
          <a:off x="4152900" y="578167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41</xdr:row>
      <xdr:rowOff>19050</xdr:rowOff>
    </xdr:from>
    <xdr:to>
      <xdr:col>3</xdr:col>
      <xdr:colOff>334923</xdr:colOff>
      <xdr:row>41</xdr:row>
      <xdr:rowOff>173372</xdr:rowOff>
    </xdr:to>
    <xdr:sp macro="" textlink="">
      <xdr:nvSpPr>
        <xdr:cNvPr id="33803" name="Text Box 11">
          <a:hlinkClick xmlns:r="http://schemas.openxmlformats.org/officeDocument/2006/relationships" r:id="rId9"/>
          <a:extLst>
            <a:ext uri="{FF2B5EF4-FFF2-40B4-BE49-F238E27FC236}">
              <a16:creationId xmlns="" xmlns:a16="http://schemas.microsoft.com/office/drawing/2014/main" id="{95BB0ADA-CC99-440C-94A5-493CA3263615}"/>
            </a:ext>
          </a:extLst>
        </xdr:cNvPr>
        <xdr:cNvSpPr txBox="1">
          <a:spLocks noChangeArrowheads="1"/>
        </xdr:cNvSpPr>
      </xdr:nvSpPr>
      <xdr:spPr bwMode="auto">
        <a:xfrm>
          <a:off x="4152900" y="558165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64</xdr:row>
      <xdr:rowOff>38100</xdr:rowOff>
    </xdr:from>
    <xdr:to>
      <xdr:col>3</xdr:col>
      <xdr:colOff>343852</xdr:colOff>
      <xdr:row>65</xdr:row>
      <xdr:rowOff>0</xdr:rowOff>
    </xdr:to>
    <xdr:sp macro="" textlink="">
      <xdr:nvSpPr>
        <xdr:cNvPr id="33804" name="Text Box 12">
          <a:hlinkClick xmlns:r="http://schemas.openxmlformats.org/officeDocument/2006/relationships" r:id="rId10"/>
          <a:extLst>
            <a:ext uri="{FF2B5EF4-FFF2-40B4-BE49-F238E27FC236}">
              <a16:creationId xmlns="" xmlns:a16="http://schemas.microsoft.com/office/drawing/2014/main" id="{EAAEA5F7-95B8-486A-A857-0F8870CA37F5}"/>
            </a:ext>
          </a:extLst>
        </xdr:cNvPr>
        <xdr:cNvSpPr txBox="1">
          <a:spLocks noChangeArrowheads="1"/>
        </xdr:cNvSpPr>
      </xdr:nvSpPr>
      <xdr:spPr bwMode="auto">
        <a:xfrm>
          <a:off x="4143375" y="861060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66</xdr:row>
      <xdr:rowOff>38100</xdr:rowOff>
    </xdr:from>
    <xdr:to>
      <xdr:col>3</xdr:col>
      <xdr:colOff>343852</xdr:colOff>
      <xdr:row>67</xdr:row>
      <xdr:rowOff>0</xdr:rowOff>
    </xdr:to>
    <xdr:sp macro="" textlink="">
      <xdr:nvSpPr>
        <xdr:cNvPr id="33805" name="Text Box 13">
          <a:hlinkClick xmlns:r="http://schemas.openxmlformats.org/officeDocument/2006/relationships" r:id="rId11"/>
          <a:extLst>
            <a:ext uri="{FF2B5EF4-FFF2-40B4-BE49-F238E27FC236}">
              <a16:creationId xmlns="" xmlns:a16="http://schemas.microsoft.com/office/drawing/2014/main" id="{597E12EB-94BF-46E3-9D2C-76F435ACEA39}"/>
            </a:ext>
          </a:extLst>
        </xdr:cNvPr>
        <xdr:cNvSpPr txBox="1">
          <a:spLocks noChangeArrowheads="1"/>
        </xdr:cNvSpPr>
      </xdr:nvSpPr>
      <xdr:spPr bwMode="auto">
        <a:xfrm>
          <a:off x="4143375" y="895350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10</xdr:col>
      <xdr:colOff>334327</xdr:colOff>
      <xdr:row>1</xdr:row>
      <xdr:rowOff>114300</xdr:rowOff>
    </xdr:from>
    <xdr:to>
      <xdr:col>12</xdr:col>
      <xdr:colOff>535368</xdr:colOff>
      <xdr:row>1</xdr:row>
      <xdr:rowOff>361950</xdr:rowOff>
    </xdr:to>
    <xdr:sp macro="" textlink="">
      <xdr:nvSpPr>
        <xdr:cNvPr id="33806" name="AutoShape 14">
          <a:hlinkClick xmlns:r="http://schemas.openxmlformats.org/officeDocument/2006/relationships" r:id="rId12"/>
          <a:extLst>
            <a:ext uri="{FF2B5EF4-FFF2-40B4-BE49-F238E27FC236}">
              <a16:creationId xmlns="" xmlns:a16="http://schemas.microsoft.com/office/drawing/2014/main" id="{9709AF3E-0A6A-43BF-B0D1-8DFB13525C2B}"/>
            </a:ext>
          </a:extLst>
        </xdr:cNvPr>
        <xdr:cNvSpPr>
          <a:spLocks noChangeArrowheads="1"/>
        </xdr:cNvSpPr>
      </xdr:nvSpPr>
      <xdr:spPr bwMode="auto">
        <a:xfrm>
          <a:off x="8153400" y="200025"/>
          <a:ext cx="1333500" cy="247650"/>
        </a:xfrm>
        <a:prstGeom prst="bevel">
          <a:avLst>
            <a:gd name="adj" fmla="val 12500"/>
          </a:avLst>
        </a:prstGeom>
        <a:solidFill>
          <a:srgbClr val="3366FF"/>
        </a:solidFill>
        <a:ln w="12700">
          <a:solidFill>
            <a:srgbClr val="000000"/>
          </a:solidFill>
          <a:miter lim="800000"/>
          <a:headEnd/>
          <a:tailEnd/>
        </a:ln>
        <a:effectLst/>
      </xdr:spPr>
      <xdr:txBody>
        <a:bodyPr vertOverflow="clip" wrap="square" lIns="27432" tIns="22860" rIns="27432" bIns="0" anchor="t" upright="1"/>
        <a:lstStyle/>
        <a:p>
          <a:pPr algn="ctr" rtl="0">
            <a:defRPr sz="1000"/>
          </a:pPr>
          <a:r>
            <a:rPr lang="en-US" sz="1000" b="1" i="0" u="sng" strike="noStrike" baseline="0">
              <a:solidFill>
                <a:srgbClr val="FFFFFF"/>
              </a:solidFill>
              <a:latin typeface="Arial"/>
              <a:cs typeface="Arial"/>
            </a:rPr>
            <a:t>Back to Instructions</a:t>
          </a:r>
        </a:p>
      </xdr:txBody>
    </xdr:sp>
    <xdr:clientData/>
  </xdr:twoCellAnchor>
  <xdr:twoCellAnchor>
    <xdr:from>
      <xdr:col>2</xdr:col>
      <xdr:colOff>17145</xdr:colOff>
      <xdr:row>6</xdr:row>
      <xdr:rowOff>76200</xdr:rowOff>
    </xdr:from>
    <xdr:to>
      <xdr:col>13</xdr:col>
      <xdr:colOff>1</xdr:colOff>
      <xdr:row>7</xdr:row>
      <xdr:rowOff>152400</xdr:rowOff>
    </xdr:to>
    <xdr:sp macro="" textlink="">
      <xdr:nvSpPr>
        <xdr:cNvPr id="33807" name="Text Box 15">
          <a:extLst>
            <a:ext uri="{FF2B5EF4-FFF2-40B4-BE49-F238E27FC236}">
              <a16:creationId xmlns="" xmlns:a16="http://schemas.microsoft.com/office/drawing/2014/main" id="{75023BC6-1E49-4E97-9D69-E0B7C3982000}"/>
            </a:ext>
          </a:extLst>
        </xdr:cNvPr>
        <xdr:cNvSpPr txBox="1">
          <a:spLocks noChangeArrowheads="1"/>
        </xdr:cNvSpPr>
      </xdr:nvSpPr>
      <xdr:spPr bwMode="auto">
        <a:xfrm>
          <a:off x="180975" y="1133475"/>
          <a:ext cx="9496425" cy="304800"/>
        </a:xfrm>
        <a:prstGeom prst="rect">
          <a:avLst/>
        </a:prstGeom>
        <a:solidFill>
          <a:srgbClr val="C0C0C0"/>
        </a:solid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Please enter data in the white cells below. Where available, metered values should be used; if metered values are unavailable please estimate a value. Indicate your confidence in the accuracy of the input data by grading each component (1-10) using the drop-down list to the left of the input cell. Hover the mouse over the cell to obtain a description of the grades</a:t>
          </a:r>
        </a:p>
      </xdr:txBody>
    </xdr:sp>
    <xdr:clientData/>
  </xdr:twoCellAnchor>
  <xdr:twoCellAnchor>
    <xdr:from>
      <xdr:col>3</xdr:col>
      <xdr:colOff>124777</xdr:colOff>
      <xdr:row>75</xdr:row>
      <xdr:rowOff>20955</xdr:rowOff>
    </xdr:from>
    <xdr:to>
      <xdr:col>3</xdr:col>
      <xdr:colOff>334923</xdr:colOff>
      <xdr:row>76</xdr:row>
      <xdr:rowOff>319</xdr:rowOff>
    </xdr:to>
    <xdr:sp macro="" textlink="">
      <xdr:nvSpPr>
        <xdr:cNvPr id="33808" name="Text Box 16">
          <a:hlinkClick xmlns:r="http://schemas.openxmlformats.org/officeDocument/2006/relationships" r:id="rId13"/>
          <a:extLst>
            <a:ext uri="{FF2B5EF4-FFF2-40B4-BE49-F238E27FC236}">
              <a16:creationId xmlns="" xmlns:a16="http://schemas.microsoft.com/office/drawing/2014/main" id="{E8F9FB9E-7AE1-4228-AACB-B9899005A125}"/>
            </a:ext>
          </a:extLst>
        </xdr:cNvPr>
        <xdr:cNvSpPr txBox="1">
          <a:spLocks noChangeArrowheads="1"/>
        </xdr:cNvSpPr>
      </xdr:nvSpPr>
      <xdr:spPr bwMode="auto">
        <a:xfrm>
          <a:off x="4152900" y="1002982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2383155</xdr:colOff>
      <xdr:row>98</xdr:row>
      <xdr:rowOff>19050</xdr:rowOff>
    </xdr:from>
    <xdr:to>
      <xdr:col>2</xdr:col>
      <xdr:colOff>2610673</xdr:colOff>
      <xdr:row>99</xdr:row>
      <xdr:rowOff>1922</xdr:rowOff>
    </xdr:to>
    <xdr:sp macro="" textlink="">
      <xdr:nvSpPr>
        <xdr:cNvPr id="33809" name="Text Box 17">
          <a:hlinkClick xmlns:r="http://schemas.openxmlformats.org/officeDocument/2006/relationships" r:id="rId14"/>
          <a:extLst>
            <a:ext uri="{FF2B5EF4-FFF2-40B4-BE49-F238E27FC236}">
              <a16:creationId xmlns="" xmlns:a16="http://schemas.microsoft.com/office/drawing/2014/main" id="{159EB04C-43A9-4A84-95DF-FFE012B88119}"/>
            </a:ext>
          </a:extLst>
        </xdr:cNvPr>
        <xdr:cNvSpPr txBox="1">
          <a:spLocks noChangeArrowheads="1"/>
        </xdr:cNvSpPr>
      </xdr:nvSpPr>
      <xdr:spPr bwMode="auto">
        <a:xfrm>
          <a:off x="2552700" y="1301115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1192530</xdr:colOff>
      <xdr:row>104</xdr:row>
      <xdr:rowOff>20955</xdr:rowOff>
    </xdr:from>
    <xdr:to>
      <xdr:col>2</xdr:col>
      <xdr:colOff>1420048</xdr:colOff>
      <xdr:row>104</xdr:row>
      <xdr:rowOff>150778</xdr:rowOff>
    </xdr:to>
    <xdr:sp macro="" textlink="">
      <xdr:nvSpPr>
        <xdr:cNvPr id="33810" name="Text Box 18">
          <a:hlinkClick xmlns:r="http://schemas.openxmlformats.org/officeDocument/2006/relationships" r:id="rId15"/>
          <a:extLst>
            <a:ext uri="{FF2B5EF4-FFF2-40B4-BE49-F238E27FC236}">
              <a16:creationId xmlns="" xmlns:a16="http://schemas.microsoft.com/office/drawing/2014/main" id="{4D0EAFD4-417B-4C3A-A066-580BBAA9C5B5}"/>
            </a:ext>
          </a:extLst>
        </xdr:cNvPr>
        <xdr:cNvSpPr txBox="1">
          <a:spLocks noChangeArrowheads="1"/>
        </xdr:cNvSpPr>
      </xdr:nvSpPr>
      <xdr:spPr bwMode="auto">
        <a:xfrm>
          <a:off x="1371600" y="13687425"/>
          <a:ext cx="219075" cy="133350"/>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14</xdr:row>
      <xdr:rowOff>19050</xdr:rowOff>
    </xdr:from>
    <xdr:to>
      <xdr:col>3</xdr:col>
      <xdr:colOff>334923</xdr:colOff>
      <xdr:row>15</xdr:row>
      <xdr:rowOff>1922</xdr:rowOff>
    </xdr:to>
    <xdr:sp macro="" textlink="">
      <xdr:nvSpPr>
        <xdr:cNvPr id="33811" name="Text Box 19">
          <a:hlinkClick xmlns:r="http://schemas.openxmlformats.org/officeDocument/2006/relationships" r:id="rId16"/>
          <a:extLst>
            <a:ext uri="{FF2B5EF4-FFF2-40B4-BE49-F238E27FC236}">
              <a16:creationId xmlns="" xmlns:a16="http://schemas.microsoft.com/office/drawing/2014/main" id="{645C059E-FE0E-4C37-B769-01E0A8B92213}"/>
            </a:ext>
          </a:extLst>
        </xdr:cNvPr>
        <xdr:cNvSpPr txBox="1">
          <a:spLocks noChangeArrowheads="1"/>
        </xdr:cNvSpPr>
      </xdr:nvSpPr>
      <xdr:spPr bwMode="auto">
        <a:xfrm>
          <a:off x="4152900" y="216217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15</xdr:row>
      <xdr:rowOff>19050</xdr:rowOff>
    </xdr:from>
    <xdr:to>
      <xdr:col>3</xdr:col>
      <xdr:colOff>334923</xdr:colOff>
      <xdr:row>16</xdr:row>
      <xdr:rowOff>1922</xdr:rowOff>
    </xdr:to>
    <xdr:sp macro="" textlink="">
      <xdr:nvSpPr>
        <xdr:cNvPr id="33812" name="Text Box 20">
          <a:hlinkClick xmlns:r="http://schemas.openxmlformats.org/officeDocument/2006/relationships" r:id="rId17"/>
          <a:extLst>
            <a:ext uri="{FF2B5EF4-FFF2-40B4-BE49-F238E27FC236}">
              <a16:creationId xmlns="" xmlns:a16="http://schemas.microsoft.com/office/drawing/2014/main" id="{990CEEB1-CF2C-45C3-A5EF-801DE1FC2420}"/>
            </a:ext>
          </a:extLst>
        </xdr:cNvPr>
        <xdr:cNvSpPr txBox="1">
          <a:spLocks noChangeArrowheads="1"/>
        </xdr:cNvSpPr>
      </xdr:nvSpPr>
      <xdr:spPr bwMode="auto">
        <a:xfrm>
          <a:off x="4152900" y="233362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16</xdr:row>
      <xdr:rowOff>19050</xdr:rowOff>
    </xdr:from>
    <xdr:to>
      <xdr:col>3</xdr:col>
      <xdr:colOff>334923</xdr:colOff>
      <xdr:row>17</xdr:row>
      <xdr:rowOff>1922</xdr:rowOff>
    </xdr:to>
    <xdr:sp macro="" textlink="">
      <xdr:nvSpPr>
        <xdr:cNvPr id="33813" name="Text Box 21">
          <a:hlinkClick xmlns:r="http://schemas.openxmlformats.org/officeDocument/2006/relationships" r:id="rId18"/>
          <a:extLst>
            <a:ext uri="{FF2B5EF4-FFF2-40B4-BE49-F238E27FC236}">
              <a16:creationId xmlns="" xmlns:a16="http://schemas.microsoft.com/office/drawing/2014/main" id="{801E4AA2-039D-4FA3-979F-BB03A78C5A11}"/>
            </a:ext>
          </a:extLst>
        </xdr:cNvPr>
        <xdr:cNvSpPr txBox="1">
          <a:spLocks noChangeArrowheads="1"/>
        </xdr:cNvSpPr>
      </xdr:nvSpPr>
      <xdr:spPr bwMode="auto">
        <a:xfrm>
          <a:off x="4152900" y="250507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37</xdr:row>
      <xdr:rowOff>19050</xdr:rowOff>
    </xdr:from>
    <xdr:to>
      <xdr:col>3</xdr:col>
      <xdr:colOff>334923</xdr:colOff>
      <xdr:row>37</xdr:row>
      <xdr:rowOff>173372</xdr:rowOff>
    </xdr:to>
    <xdr:sp macro="" textlink="">
      <xdr:nvSpPr>
        <xdr:cNvPr id="33814" name="Text Box 22">
          <a:hlinkClick xmlns:r="http://schemas.openxmlformats.org/officeDocument/2006/relationships" r:id="rId19"/>
          <a:extLst>
            <a:ext uri="{FF2B5EF4-FFF2-40B4-BE49-F238E27FC236}">
              <a16:creationId xmlns="" xmlns:a16="http://schemas.microsoft.com/office/drawing/2014/main" id="{71B29E93-C04A-4A6D-9C0C-053FFBDC0115}"/>
            </a:ext>
          </a:extLst>
        </xdr:cNvPr>
        <xdr:cNvSpPr txBox="1">
          <a:spLocks noChangeArrowheads="1"/>
        </xdr:cNvSpPr>
      </xdr:nvSpPr>
      <xdr:spPr bwMode="auto">
        <a:xfrm>
          <a:off x="4152900" y="514350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74</xdr:row>
      <xdr:rowOff>19050</xdr:rowOff>
    </xdr:from>
    <xdr:to>
      <xdr:col>3</xdr:col>
      <xdr:colOff>334923</xdr:colOff>
      <xdr:row>74</xdr:row>
      <xdr:rowOff>173372</xdr:rowOff>
    </xdr:to>
    <xdr:sp macro="" textlink="">
      <xdr:nvSpPr>
        <xdr:cNvPr id="33815" name="Text Box 23">
          <a:hlinkClick xmlns:r="http://schemas.openxmlformats.org/officeDocument/2006/relationships" r:id="rId20"/>
          <a:extLst>
            <a:ext uri="{FF2B5EF4-FFF2-40B4-BE49-F238E27FC236}">
              <a16:creationId xmlns="" xmlns:a16="http://schemas.microsoft.com/office/drawing/2014/main" id="{3EA30C84-2C4F-410F-A2DA-FB60E4A396E9}"/>
            </a:ext>
          </a:extLst>
        </xdr:cNvPr>
        <xdr:cNvSpPr txBox="1">
          <a:spLocks noChangeArrowheads="1"/>
        </xdr:cNvSpPr>
      </xdr:nvSpPr>
      <xdr:spPr bwMode="auto">
        <a:xfrm>
          <a:off x="4152900" y="984885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73</xdr:row>
      <xdr:rowOff>19050</xdr:rowOff>
    </xdr:from>
    <xdr:to>
      <xdr:col>3</xdr:col>
      <xdr:colOff>334923</xdr:colOff>
      <xdr:row>73</xdr:row>
      <xdr:rowOff>173372</xdr:rowOff>
    </xdr:to>
    <xdr:sp macro="" textlink="">
      <xdr:nvSpPr>
        <xdr:cNvPr id="33816" name="Text Box 24">
          <a:hlinkClick xmlns:r="http://schemas.openxmlformats.org/officeDocument/2006/relationships" r:id="rId21"/>
          <a:extLst>
            <a:ext uri="{FF2B5EF4-FFF2-40B4-BE49-F238E27FC236}">
              <a16:creationId xmlns="" xmlns:a16="http://schemas.microsoft.com/office/drawing/2014/main" id="{DE9EA2FA-5208-4053-B00E-D54ECF2851BD}"/>
            </a:ext>
          </a:extLst>
        </xdr:cNvPr>
        <xdr:cNvSpPr txBox="1">
          <a:spLocks noChangeArrowheads="1"/>
        </xdr:cNvSpPr>
      </xdr:nvSpPr>
      <xdr:spPr bwMode="auto">
        <a:xfrm>
          <a:off x="4152900" y="966787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1065847</xdr:colOff>
      <xdr:row>64</xdr:row>
      <xdr:rowOff>0</xdr:rowOff>
    </xdr:from>
    <xdr:to>
      <xdr:col>12</xdr:col>
      <xdr:colOff>563198</xdr:colOff>
      <xdr:row>66</xdr:row>
      <xdr:rowOff>1185</xdr:rowOff>
    </xdr:to>
    <xdr:sp macro="" textlink="">
      <xdr:nvSpPr>
        <xdr:cNvPr id="33817" name="Rectangle 25">
          <a:extLst>
            <a:ext uri="{FF2B5EF4-FFF2-40B4-BE49-F238E27FC236}">
              <a16:creationId xmlns="" xmlns:a16="http://schemas.microsoft.com/office/drawing/2014/main" id="{46AB0F1A-4634-4DF6-A0DF-683DA8CD2E41}"/>
            </a:ext>
          </a:extLst>
        </xdr:cNvPr>
        <xdr:cNvSpPr>
          <a:spLocks noChangeArrowheads="1"/>
        </xdr:cNvSpPr>
      </xdr:nvSpPr>
      <xdr:spPr bwMode="auto">
        <a:xfrm>
          <a:off x="7029450" y="8582025"/>
          <a:ext cx="2486025" cy="3333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800" b="0" i="0" u="none" strike="noStrike" baseline="0">
              <a:solidFill>
                <a:srgbClr val="000000"/>
              </a:solidFill>
              <a:latin typeface="Courier New"/>
              <a:cs typeface="Courier New"/>
            </a:rPr>
            <a:t>(pipe length between curbstop and customer meter or property boundary)</a:t>
          </a:r>
        </a:p>
      </xdr:txBody>
    </xdr:sp>
    <xdr:clientData/>
  </xdr:twoCellAnchor>
  <xdr:twoCellAnchor>
    <xdr:from>
      <xdr:col>10</xdr:col>
      <xdr:colOff>104775</xdr:colOff>
      <xdr:row>28</xdr:row>
      <xdr:rowOff>0</xdr:rowOff>
    </xdr:from>
    <xdr:to>
      <xdr:col>12</xdr:col>
      <xdr:colOff>602016</xdr:colOff>
      <xdr:row>34</xdr:row>
      <xdr:rowOff>114300</xdr:rowOff>
    </xdr:to>
    <xdr:sp macro="" textlink="">
      <xdr:nvSpPr>
        <xdr:cNvPr id="33830" name="Text Box 38">
          <a:extLst>
            <a:ext uri="{FF2B5EF4-FFF2-40B4-BE49-F238E27FC236}">
              <a16:creationId xmlns="" xmlns:a16="http://schemas.microsoft.com/office/drawing/2014/main" id="{4BE7A098-F0C1-44F7-BCE1-75A3FB322222}"/>
            </a:ext>
          </a:extLst>
        </xdr:cNvPr>
        <xdr:cNvSpPr txBox="1">
          <a:spLocks noChangeArrowheads="1"/>
        </xdr:cNvSpPr>
      </xdr:nvSpPr>
      <xdr:spPr bwMode="auto">
        <a:xfrm>
          <a:off x="7915275" y="4143375"/>
          <a:ext cx="1638300" cy="657225"/>
        </a:xfrm>
        <a:prstGeom prst="rect">
          <a:avLst/>
        </a:prstGeom>
        <a:solidFill>
          <a:srgbClr val="C0C0C0"/>
        </a:solidFill>
        <a:ln w="12700" algn="ctr">
          <a:noFill/>
          <a:miter lim="800000"/>
          <a:headEnd/>
          <a:tailEnd/>
        </a:ln>
        <a:effectLst/>
      </xdr:spPr>
      <xdr:txBody>
        <a:bodyPr vertOverflow="clip" wrap="square" lIns="27432" tIns="22860" rIns="27432" bIns="0" anchor="t" upright="1"/>
        <a:lstStyle/>
        <a:p>
          <a:pPr algn="ctr" rtl="0">
            <a:defRPr sz="1000"/>
          </a:pPr>
          <a:r>
            <a:rPr lang="en-US" sz="900" b="0" i="0" u="none" strike="noStrike" baseline="0">
              <a:solidFill>
                <a:srgbClr val="000000"/>
              </a:solidFill>
              <a:latin typeface="Arial"/>
              <a:cs typeface="Arial"/>
            </a:rPr>
            <a:t>Use buttons to select</a:t>
          </a:r>
        </a:p>
        <a:p>
          <a:pPr algn="ctr" rtl="0">
            <a:lnSpc>
              <a:spcPts val="900"/>
            </a:lnSpc>
            <a:defRPr sz="1000"/>
          </a:pPr>
          <a:r>
            <a:rPr lang="en-US" sz="900" b="0" i="0" u="none" strike="noStrike" baseline="0">
              <a:solidFill>
                <a:srgbClr val="000000"/>
              </a:solidFill>
              <a:latin typeface="Arial"/>
              <a:cs typeface="Arial"/>
            </a:rPr>
            <a:t>percentage of water supplied</a:t>
          </a:r>
        </a:p>
        <a:p>
          <a:pPr algn="ctr" rtl="0">
            <a:defRPr sz="1000"/>
          </a:pPr>
          <a:r>
            <a:rPr lang="en-US" sz="900" b="1" i="0" u="sng" strike="noStrike" baseline="0">
              <a:solidFill>
                <a:srgbClr val="000000"/>
              </a:solidFill>
              <a:latin typeface="Arial"/>
              <a:cs typeface="Arial"/>
            </a:rPr>
            <a:t>OR</a:t>
          </a:r>
        </a:p>
        <a:p>
          <a:pPr algn="ctr" rtl="0">
            <a:lnSpc>
              <a:spcPts val="900"/>
            </a:lnSpc>
            <a:defRPr sz="1000"/>
          </a:pPr>
          <a:r>
            <a:rPr lang="en-US" sz="900" b="0" i="0" u="none" strike="noStrike" baseline="0">
              <a:solidFill>
                <a:srgbClr val="000000"/>
              </a:solidFill>
              <a:latin typeface="Arial"/>
              <a:cs typeface="Arial"/>
            </a:rPr>
            <a:t>value</a:t>
          </a:r>
        </a:p>
      </xdr:txBody>
    </xdr:sp>
    <xdr:clientData/>
  </xdr:twoCellAnchor>
  <xdr:twoCellAnchor>
    <xdr:from>
      <xdr:col>10</xdr:col>
      <xdr:colOff>409575</xdr:colOff>
      <xdr:row>34</xdr:row>
      <xdr:rowOff>85725</xdr:rowOff>
    </xdr:from>
    <xdr:to>
      <xdr:col>10</xdr:col>
      <xdr:colOff>409575</xdr:colOff>
      <xdr:row>36</xdr:row>
      <xdr:rowOff>152400</xdr:rowOff>
    </xdr:to>
    <xdr:sp macro="" textlink="">
      <xdr:nvSpPr>
        <xdr:cNvPr id="6180435" name="Line 39"/>
        <xdr:cNvSpPr>
          <a:spLocks noChangeShapeType="1"/>
        </xdr:cNvSpPr>
      </xdr:nvSpPr>
      <xdr:spPr bwMode="auto">
        <a:xfrm>
          <a:off x="8229600" y="4781550"/>
          <a:ext cx="0" cy="323850"/>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409575</xdr:colOff>
      <xdr:row>34</xdr:row>
      <xdr:rowOff>57150</xdr:rowOff>
    </xdr:from>
    <xdr:to>
      <xdr:col>11</xdr:col>
      <xdr:colOff>114300</xdr:colOff>
      <xdr:row>34</xdr:row>
      <xdr:rowOff>57150</xdr:rowOff>
    </xdr:to>
    <xdr:sp macro="" textlink="">
      <xdr:nvSpPr>
        <xdr:cNvPr id="6180436" name="Line 40"/>
        <xdr:cNvSpPr>
          <a:spLocks noChangeShapeType="1"/>
        </xdr:cNvSpPr>
      </xdr:nvSpPr>
      <xdr:spPr bwMode="auto">
        <a:xfrm>
          <a:off x="8229600" y="4752975"/>
          <a:ext cx="304800" cy="0"/>
        </a:xfrm>
        <a:prstGeom prst="line">
          <a:avLst/>
        </a:prstGeom>
        <a:noFill/>
        <a:ln w="1270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171450</xdr:colOff>
      <xdr:row>29</xdr:row>
      <xdr:rowOff>66675</xdr:rowOff>
    </xdr:from>
    <xdr:to>
      <xdr:col>10</xdr:col>
      <xdr:colOff>333375</xdr:colOff>
      <xdr:row>29</xdr:row>
      <xdr:rowOff>66675</xdr:rowOff>
    </xdr:to>
    <xdr:sp macro="" textlink="">
      <xdr:nvSpPr>
        <xdr:cNvPr id="6180437" name="Line 41"/>
        <xdr:cNvSpPr>
          <a:spLocks noChangeShapeType="1"/>
        </xdr:cNvSpPr>
      </xdr:nvSpPr>
      <xdr:spPr bwMode="auto">
        <a:xfrm flipV="1">
          <a:off x="7991475" y="4238625"/>
          <a:ext cx="161925" cy="0"/>
        </a:xfrm>
        <a:prstGeom prst="line">
          <a:avLst/>
        </a:prstGeom>
        <a:noFill/>
        <a:ln w="1270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171450</xdr:colOff>
      <xdr:row>27</xdr:row>
      <xdr:rowOff>0</xdr:rowOff>
    </xdr:from>
    <xdr:to>
      <xdr:col>10</xdr:col>
      <xdr:colOff>171450</xdr:colOff>
      <xdr:row>29</xdr:row>
      <xdr:rowOff>38100</xdr:rowOff>
    </xdr:to>
    <xdr:sp macro="" textlink="">
      <xdr:nvSpPr>
        <xdr:cNvPr id="6180438" name="Line 42"/>
        <xdr:cNvSpPr>
          <a:spLocks noChangeShapeType="1"/>
        </xdr:cNvSpPr>
      </xdr:nvSpPr>
      <xdr:spPr bwMode="auto">
        <a:xfrm flipV="1">
          <a:off x="7991475" y="3952875"/>
          <a:ext cx="0" cy="257175"/>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446722</xdr:colOff>
      <xdr:row>21</xdr:row>
      <xdr:rowOff>19050</xdr:rowOff>
    </xdr:from>
    <xdr:to>
      <xdr:col>12</xdr:col>
      <xdr:colOff>111958</xdr:colOff>
      <xdr:row>22</xdr:row>
      <xdr:rowOff>1922</xdr:rowOff>
    </xdr:to>
    <xdr:sp macro="" textlink="">
      <xdr:nvSpPr>
        <xdr:cNvPr id="33835" name="Text Box 43">
          <a:hlinkClick xmlns:r="http://schemas.openxmlformats.org/officeDocument/2006/relationships" r:id="rId22" tooltip="Defaults"/>
          <a:extLst>
            <a:ext uri="{FF2B5EF4-FFF2-40B4-BE49-F238E27FC236}">
              <a16:creationId xmlns="" xmlns:a16="http://schemas.microsoft.com/office/drawing/2014/main" id="{469DA981-FA64-4F6A-BA84-238A36E5A776}"/>
            </a:ext>
          </a:extLst>
        </xdr:cNvPr>
        <xdr:cNvSpPr txBox="1">
          <a:spLocks noChangeArrowheads="1"/>
        </xdr:cNvSpPr>
      </xdr:nvSpPr>
      <xdr:spPr bwMode="auto">
        <a:xfrm>
          <a:off x="8848725" y="306705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10</xdr:col>
      <xdr:colOff>408622</xdr:colOff>
      <xdr:row>21</xdr:row>
      <xdr:rowOff>19050</xdr:rowOff>
    </xdr:from>
    <xdr:to>
      <xdr:col>11</xdr:col>
      <xdr:colOff>411928</xdr:colOff>
      <xdr:row>22</xdr:row>
      <xdr:rowOff>19050</xdr:rowOff>
    </xdr:to>
    <xdr:sp macro="" textlink="">
      <xdr:nvSpPr>
        <xdr:cNvPr id="33836" name="Text Box 44">
          <a:extLst>
            <a:ext uri="{FF2B5EF4-FFF2-40B4-BE49-F238E27FC236}">
              <a16:creationId xmlns="" xmlns:a16="http://schemas.microsoft.com/office/drawing/2014/main" id="{29E88731-DD00-492C-8D9C-55E664D4664C}"/>
            </a:ext>
          </a:extLst>
        </xdr:cNvPr>
        <xdr:cNvSpPr txBox="1">
          <a:spLocks noChangeArrowheads="1"/>
        </xdr:cNvSpPr>
      </xdr:nvSpPr>
      <xdr:spPr bwMode="auto">
        <a:xfrm>
          <a:off x="8210550" y="3067050"/>
          <a:ext cx="628650" cy="16192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Click here: </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10</xdr:col>
      <xdr:colOff>410527</xdr:colOff>
      <xdr:row>22</xdr:row>
      <xdr:rowOff>952</xdr:rowOff>
    </xdr:from>
    <xdr:to>
      <xdr:col>12</xdr:col>
      <xdr:colOff>459262</xdr:colOff>
      <xdr:row>23</xdr:row>
      <xdr:rowOff>152633</xdr:rowOff>
    </xdr:to>
    <xdr:sp macro="" textlink="">
      <xdr:nvSpPr>
        <xdr:cNvPr id="33837" name="Text Box 45">
          <a:extLst>
            <a:ext uri="{FF2B5EF4-FFF2-40B4-BE49-F238E27FC236}">
              <a16:creationId xmlns="" xmlns:a16="http://schemas.microsoft.com/office/drawing/2014/main" id="{91C4EFB8-EE66-4E76-B924-9A62FCC6F648}"/>
            </a:ext>
          </a:extLst>
        </xdr:cNvPr>
        <xdr:cNvSpPr txBox="1">
          <a:spLocks noChangeArrowheads="1"/>
        </xdr:cNvSpPr>
      </xdr:nvSpPr>
      <xdr:spPr bwMode="auto">
        <a:xfrm>
          <a:off x="8220075" y="3209925"/>
          <a:ext cx="1190625" cy="3333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for help using option buttons below</a:t>
          </a:r>
        </a:p>
      </xdr:txBody>
    </xdr:sp>
    <xdr:clientData/>
  </xdr:twoCellAnchor>
  <xdr:twoCellAnchor>
    <xdr:from>
      <xdr:col>1</xdr:col>
      <xdr:colOff>57150</xdr:colOff>
      <xdr:row>106</xdr:row>
      <xdr:rowOff>190500</xdr:rowOff>
    </xdr:from>
    <xdr:to>
      <xdr:col>13</xdr:col>
      <xdr:colOff>95250</xdr:colOff>
      <xdr:row>119</xdr:row>
      <xdr:rowOff>85725</xdr:rowOff>
    </xdr:to>
    <xdr:sp macro="" textlink="">
      <xdr:nvSpPr>
        <xdr:cNvPr id="6180442" name="Rectangle 46"/>
        <xdr:cNvSpPr>
          <a:spLocks noChangeArrowheads="1"/>
        </xdr:cNvSpPr>
      </xdr:nvSpPr>
      <xdr:spPr bwMode="auto">
        <a:xfrm>
          <a:off x="104775" y="14135100"/>
          <a:ext cx="9667875" cy="2228850"/>
        </a:xfrm>
        <a:prstGeom prst="rect">
          <a:avLst/>
        </a:prstGeom>
        <a:noFill/>
        <a:ln w="15875"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370522</xdr:colOff>
      <xdr:row>115</xdr:row>
      <xdr:rowOff>38100</xdr:rowOff>
    </xdr:from>
    <xdr:to>
      <xdr:col>11</xdr:col>
      <xdr:colOff>410587</xdr:colOff>
      <xdr:row>118</xdr:row>
      <xdr:rowOff>0</xdr:rowOff>
    </xdr:to>
    <xdr:sp macro="" textlink="">
      <xdr:nvSpPr>
        <xdr:cNvPr id="33839" name="AutoShape 47">
          <a:hlinkClick xmlns:r="http://schemas.openxmlformats.org/officeDocument/2006/relationships" r:id="rId23"/>
          <a:extLst>
            <a:ext uri="{FF2B5EF4-FFF2-40B4-BE49-F238E27FC236}">
              <a16:creationId xmlns="" xmlns:a16="http://schemas.microsoft.com/office/drawing/2014/main" id="{797D09E6-3509-4644-B7A8-4E0E7C68D863}"/>
            </a:ext>
          </a:extLst>
        </xdr:cNvPr>
        <xdr:cNvSpPr>
          <a:spLocks noChangeArrowheads="1"/>
        </xdr:cNvSpPr>
      </xdr:nvSpPr>
      <xdr:spPr bwMode="auto">
        <a:xfrm>
          <a:off x="4381500" y="15792450"/>
          <a:ext cx="4448175" cy="295275"/>
        </a:xfrm>
        <a:prstGeom prst="bevel">
          <a:avLst>
            <a:gd name="adj" fmla="val 12500"/>
          </a:avLst>
        </a:prstGeom>
        <a:solidFill>
          <a:srgbClr val="3366FF"/>
        </a:solidFill>
        <a:ln w="12700">
          <a:solidFill>
            <a:srgbClr val="000000"/>
          </a:solidFill>
          <a:miter lim="800000"/>
          <a:headEnd/>
          <a:tailEnd/>
        </a:ln>
        <a:effectLst/>
      </xdr:spPr>
      <xdr:txBody>
        <a:bodyPr vertOverflow="clip" wrap="square" lIns="27432" tIns="22860" rIns="27432" bIns="0" anchor="t" upright="1"/>
        <a:lstStyle/>
        <a:p>
          <a:pPr algn="ctr" rtl="0">
            <a:defRPr sz="1000"/>
          </a:pPr>
          <a:r>
            <a:rPr lang="en-US" sz="1000" b="1" i="0" u="sng" strike="noStrike" baseline="0">
              <a:solidFill>
                <a:srgbClr val="FFFFFF"/>
              </a:solidFill>
              <a:latin typeface="Arial"/>
              <a:cs typeface="Arial"/>
            </a:rPr>
            <a:t>For more information, click here to see the Grading Matrix worksheet</a:t>
          </a:r>
        </a:p>
      </xdr:txBody>
    </xdr:sp>
    <xdr:clientData/>
  </xdr:twoCellAnchor>
  <xdr:twoCellAnchor>
    <xdr:from>
      <xdr:col>10</xdr:col>
      <xdr:colOff>180975</xdr:colOff>
      <xdr:row>46</xdr:row>
      <xdr:rowOff>57150</xdr:rowOff>
    </xdr:from>
    <xdr:to>
      <xdr:col>10</xdr:col>
      <xdr:colOff>571500</xdr:colOff>
      <xdr:row>46</xdr:row>
      <xdr:rowOff>57150</xdr:rowOff>
    </xdr:to>
    <xdr:sp macro="" textlink="">
      <xdr:nvSpPr>
        <xdr:cNvPr id="6180444" name="Line 51"/>
        <xdr:cNvSpPr>
          <a:spLocks noChangeShapeType="1"/>
        </xdr:cNvSpPr>
      </xdr:nvSpPr>
      <xdr:spPr bwMode="auto">
        <a:xfrm>
          <a:off x="8001000" y="6210300"/>
          <a:ext cx="390525" cy="0"/>
        </a:xfrm>
        <a:prstGeom prst="line">
          <a:avLst/>
        </a:prstGeom>
        <a:noFill/>
        <a:ln w="1270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171450</xdr:colOff>
      <xdr:row>42</xdr:row>
      <xdr:rowOff>28575</xdr:rowOff>
    </xdr:from>
    <xdr:to>
      <xdr:col>10</xdr:col>
      <xdr:colOff>171450</xdr:colOff>
      <xdr:row>46</xdr:row>
      <xdr:rowOff>38100</xdr:rowOff>
    </xdr:to>
    <xdr:sp macro="" textlink="">
      <xdr:nvSpPr>
        <xdr:cNvPr id="6180445" name="Line 52"/>
        <xdr:cNvSpPr>
          <a:spLocks noChangeShapeType="1"/>
        </xdr:cNvSpPr>
      </xdr:nvSpPr>
      <xdr:spPr bwMode="auto">
        <a:xfrm flipV="1">
          <a:off x="7991475" y="5781675"/>
          <a:ext cx="0" cy="409575"/>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142875</xdr:colOff>
      <xdr:row>48</xdr:row>
      <xdr:rowOff>0</xdr:rowOff>
    </xdr:from>
    <xdr:to>
      <xdr:col>10</xdr:col>
      <xdr:colOff>372062</xdr:colOff>
      <xdr:row>48</xdr:row>
      <xdr:rowOff>135630</xdr:rowOff>
    </xdr:to>
    <xdr:sp macro="" textlink="">
      <xdr:nvSpPr>
        <xdr:cNvPr id="33845" name="Text Box 53">
          <a:hlinkClick xmlns:r="http://schemas.openxmlformats.org/officeDocument/2006/relationships" r:id="rId6"/>
          <a:extLst>
            <a:ext uri="{FF2B5EF4-FFF2-40B4-BE49-F238E27FC236}">
              <a16:creationId xmlns="" xmlns:a16="http://schemas.microsoft.com/office/drawing/2014/main" id="{13666844-CA23-4FCD-AF1B-D89FC851357A}"/>
            </a:ext>
          </a:extLst>
        </xdr:cNvPr>
        <xdr:cNvSpPr txBox="1">
          <a:spLocks noChangeArrowheads="1"/>
        </xdr:cNvSpPr>
      </xdr:nvSpPr>
      <xdr:spPr bwMode="auto">
        <a:xfrm>
          <a:off x="7962900" y="6353175"/>
          <a:ext cx="219075" cy="133350"/>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1598295</xdr:colOff>
      <xdr:row>1</xdr:row>
      <xdr:rowOff>304800</xdr:rowOff>
    </xdr:from>
    <xdr:to>
      <xdr:col>6</xdr:col>
      <xdr:colOff>857246</xdr:colOff>
      <xdr:row>1</xdr:row>
      <xdr:rowOff>474232</xdr:rowOff>
    </xdr:to>
    <xdr:sp macro="" textlink="">
      <xdr:nvSpPr>
        <xdr:cNvPr id="33909" name="Text Box 54">
          <a:extLst>
            <a:ext uri="{FF2B5EF4-FFF2-40B4-BE49-F238E27FC236}">
              <a16:creationId xmlns="" xmlns:a16="http://schemas.microsoft.com/office/drawing/2014/main" id="{F42600BE-BD13-4F6D-83EE-8F03C2CB4076}"/>
            </a:ext>
          </a:extLst>
        </xdr:cNvPr>
        <xdr:cNvSpPr txBox="1">
          <a:spLocks noChangeArrowheads="1"/>
        </xdr:cNvSpPr>
      </xdr:nvSpPr>
      <xdr:spPr bwMode="auto">
        <a:xfrm>
          <a:off x="1813560" y="388620"/>
          <a:ext cx="39471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Copyright © 2010, American Water Works Association. All Rights Reserved.</a:t>
          </a:r>
          <a:endParaRPr lang="en-US"/>
        </a:p>
      </xdr:txBody>
    </xdr:sp>
    <xdr:clientData/>
  </xdr:twoCellAnchor>
  <xdr:twoCellAnchor>
    <xdr:from>
      <xdr:col>3</xdr:col>
      <xdr:colOff>142875</xdr:colOff>
      <xdr:row>51</xdr:row>
      <xdr:rowOff>0</xdr:rowOff>
    </xdr:from>
    <xdr:to>
      <xdr:col>3</xdr:col>
      <xdr:colOff>352892</xdr:colOff>
      <xdr:row>51</xdr:row>
      <xdr:rowOff>152400</xdr:rowOff>
    </xdr:to>
    <xdr:sp macro="" textlink="">
      <xdr:nvSpPr>
        <xdr:cNvPr id="33847" name="Text Box 55">
          <a:hlinkClick xmlns:r="http://schemas.openxmlformats.org/officeDocument/2006/relationships" r:id="rId24"/>
          <a:extLst>
            <a:ext uri="{FF2B5EF4-FFF2-40B4-BE49-F238E27FC236}">
              <a16:creationId xmlns="" xmlns:a16="http://schemas.microsoft.com/office/drawing/2014/main" id="{AF42EA02-19A4-41D5-8683-FC4DFA7A01E4}"/>
            </a:ext>
          </a:extLst>
        </xdr:cNvPr>
        <xdr:cNvSpPr txBox="1">
          <a:spLocks noChangeArrowheads="1"/>
        </xdr:cNvSpPr>
      </xdr:nvSpPr>
      <xdr:spPr bwMode="auto">
        <a:xfrm>
          <a:off x="4162425" y="670560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29</xdr:row>
      <xdr:rowOff>38100</xdr:rowOff>
    </xdr:from>
    <xdr:to>
      <xdr:col>3</xdr:col>
      <xdr:colOff>334923</xdr:colOff>
      <xdr:row>29</xdr:row>
      <xdr:rowOff>171450</xdr:rowOff>
    </xdr:to>
    <xdr:sp macro="" textlink="">
      <xdr:nvSpPr>
        <xdr:cNvPr id="33848" name="Text Box 56">
          <a:hlinkClick xmlns:r="http://schemas.openxmlformats.org/officeDocument/2006/relationships" r:id="rId25"/>
          <a:extLst>
            <a:ext uri="{FF2B5EF4-FFF2-40B4-BE49-F238E27FC236}">
              <a16:creationId xmlns="" xmlns:a16="http://schemas.microsoft.com/office/drawing/2014/main" id="{9843F736-CBAB-4C3C-A563-A46C9A1D1170}"/>
            </a:ext>
          </a:extLst>
        </xdr:cNvPr>
        <xdr:cNvSpPr txBox="1">
          <a:spLocks noChangeArrowheads="1"/>
        </xdr:cNvSpPr>
      </xdr:nvSpPr>
      <xdr:spPr bwMode="auto">
        <a:xfrm>
          <a:off x="4152900" y="4200525"/>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142875</xdr:colOff>
      <xdr:row>57</xdr:row>
      <xdr:rowOff>0</xdr:rowOff>
    </xdr:from>
    <xdr:to>
      <xdr:col>3</xdr:col>
      <xdr:colOff>352892</xdr:colOff>
      <xdr:row>57</xdr:row>
      <xdr:rowOff>152400</xdr:rowOff>
    </xdr:to>
    <xdr:sp macro="" textlink="">
      <xdr:nvSpPr>
        <xdr:cNvPr id="33849" name="Text Box 57">
          <a:hlinkClick xmlns:r="http://schemas.openxmlformats.org/officeDocument/2006/relationships" r:id="rId26"/>
          <a:extLst>
            <a:ext uri="{FF2B5EF4-FFF2-40B4-BE49-F238E27FC236}">
              <a16:creationId xmlns="" xmlns:a16="http://schemas.microsoft.com/office/drawing/2014/main" id="{88D4A208-8129-4030-8CD1-0526A9A6BACA}"/>
            </a:ext>
          </a:extLst>
        </xdr:cNvPr>
        <xdr:cNvSpPr txBox="1">
          <a:spLocks noChangeArrowheads="1"/>
        </xdr:cNvSpPr>
      </xdr:nvSpPr>
      <xdr:spPr bwMode="auto">
        <a:xfrm>
          <a:off x="4162425" y="744855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124777</xdr:colOff>
      <xdr:row>46</xdr:row>
      <xdr:rowOff>38100</xdr:rowOff>
    </xdr:from>
    <xdr:to>
      <xdr:col>3</xdr:col>
      <xdr:colOff>344475</xdr:colOff>
      <xdr:row>47</xdr:row>
      <xdr:rowOff>19050</xdr:rowOff>
    </xdr:to>
    <xdr:sp macro="" textlink="">
      <xdr:nvSpPr>
        <xdr:cNvPr id="33850" name="Text Box 58">
          <a:hlinkClick xmlns:r="http://schemas.openxmlformats.org/officeDocument/2006/relationships" r:id="rId27"/>
          <a:extLst>
            <a:ext uri="{FF2B5EF4-FFF2-40B4-BE49-F238E27FC236}">
              <a16:creationId xmlns="" xmlns:a16="http://schemas.microsoft.com/office/drawing/2014/main" id="{55C17CEE-F958-4272-B21F-9CE6CF359D69}"/>
            </a:ext>
          </a:extLst>
        </xdr:cNvPr>
        <xdr:cNvSpPr txBox="1">
          <a:spLocks noChangeArrowheads="1"/>
        </xdr:cNvSpPr>
      </xdr:nvSpPr>
      <xdr:spPr bwMode="auto">
        <a:xfrm>
          <a:off x="4152900" y="6191250"/>
          <a:ext cx="219075" cy="142875"/>
        </a:xfrm>
        <a:prstGeom prst="rect">
          <a:avLst/>
        </a:prstGeom>
        <a:solidFill>
          <a:srgbClr val="3366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editAs="oneCell">
    <xdr:from>
      <xdr:col>8</xdr:col>
      <xdr:colOff>1219200</xdr:colOff>
      <xdr:row>1</xdr:row>
      <xdr:rowOff>304800</xdr:rowOff>
    </xdr:from>
    <xdr:to>
      <xdr:col>9</xdr:col>
      <xdr:colOff>416401</xdr:colOff>
      <xdr:row>1</xdr:row>
      <xdr:rowOff>457200</xdr:rowOff>
    </xdr:to>
    <xdr:sp macro="" textlink="">
      <xdr:nvSpPr>
        <xdr:cNvPr id="33869" name="Text Box 77">
          <a:extLst>
            <a:ext uri="{FF2B5EF4-FFF2-40B4-BE49-F238E27FC236}">
              <a16:creationId xmlns="" xmlns:a16="http://schemas.microsoft.com/office/drawing/2014/main" id="{86D881F0-932C-44B9-B768-D3E18DB0E8B7}"/>
            </a:ext>
          </a:extLst>
        </xdr:cNvPr>
        <xdr:cNvSpPr txBox="1">
          <a:spLocks noChangeArrowheads="1"/>
        </xdr:cNvSpPr>
      </xdr:nvSpPr>
      <xdr:spPr bwMode="auto">
        <a:xfrm>
          <a:off x="7210425" y="381000"/>
          <a:ext cx="571500" cy="15240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800" b="0" i="0" u="none" strike="noStrike" baseline="0">
              <a:solidFill>
                <a:srgbClr val="FFFFFF"/>
              </a:solidFill>
              <a:latin typeface="Arial"/>
              <a:cs typeface="Arial"/>
            </a:rPr>
            <a:t> WAS v4.2</a:t>
          </a:r>
          <a:endParaRPr lang="en-US"/>
        </a:p>
      </xdr:txBody>
    </xdr:sp>
    <xdr:clientData/>
  </xdr:twoCellAnchor>
  <mc:AlternateContent xmlns:mc="http://schemas.openxmlformats.org/markup-compatibility/2006">
    <mc:Choice xmlns:a14="http://schemas.microsoft.com/office/drawing/2010/main" Requires="a14">
      <xdr:twoCellAnchor>
        <xdr:from>
          <xdr:col>10</xdr:col>
          <xdr:colOff>9525</xdr:colOff>
          <xdr:row>37</xdr:row>
          <xdr:rowOff>0</xdr:rowOff>
        </xdr:from>
        <xdr:to>
          <xdr:col>10</xdr:col>
          <xdr:colOff>590550</xdr:colOff>
          <xdr:row>38</xdr:row>
          <xdr:rowOff>0</xdr:rowOff>
        </xdr:to>
        <xdr:grpSp>
          <xdr:nvGrpSpPr>
            <xdr:cNvPr id="6180453" name="Group 26"/>
            <xdr:cNvGrpSpPr>
              <a:grpSpLocks/>
            </xdr:cNvGrpSpPr>
          </xdr:nvGrpSpPr>
          <xdr:grpSpPr bwMode="auto">
            <a:xfrm>
              <a:off x="7829550" y="5124450"/>
              <a:ext cx="581025" cy="190500"/>
              <a:chOff x="1005" y="345"/>
              <a:chExt cx="64" cy="29"/>
            </a:xfrm>
          </xdr:grpSpPr>
          <xdr:sp macro="" textlink="">
            <xdr:nvSpPr>
              <xdr:cNvPr id="33819" name="Group Box 27" hidden="1">
                <a:extLst>
                  <a:ext uri="{63B3BB69-23CF-44E3-9099-C40C66FF867C}">
                    <a14:compatExt spid="_x0000_s33819"/>
                  </a:ext>
                </a:extLst>
              </xdr:cNvPr>
              <xdr:cNvSpPr/>
            </xdr:nvSpPr>
            <xdr:spPr bwMode="auto">
              <a:xfrm>
                <a:off x="1005" y="345"/>
                <a:ext cx="64" cy="29"/>
              </a:xfrm>
              <a:prstGeom prst="rect">
                <a:avLst/>
              </a:prstGeom>
              <a:noFill/>
              <a:ln w="12700">
                <a:miter lim="800000"/>
                <a:headEnd/>
                <a:tailEnd/>
              </a:ln>
              <a:extLst>
                <a:ext uri="{909E8E84-426E-40DD-AFC4-6F175D3DCCD1}">
                  <a14:hiddenFill>
                    <a:noFill/>
                  </a14:hiddenFill>
                </a:ext>
              </a:extLst>
            </xdr:spPr>
          </xdr:sp>
          <xdr:sp macro="" textlink="">
            <xdr:nvSpPr>
              <xdr:cNvPr id="33820" name="Option Button 28" hidden="1">
                <a:extLst>
                  <a:ext uri="{63B3BB69-23CF-44E3-9099-C40C66FF867C}">
                    <a14:compatExt spid="_x0000_s33820"/>
                  </a:ext>
                </a:extLst>
              </xdr:cNvPr>
              <xdr:cNvSpPr/>
            </xdr:nvSpPr>
            <xdr:spPr bwMode="auto">
              <a:xfrm>
                <a:off x="1010" y="349"/>
                <a:ext cx="32"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sp macro="" textlink="">
            <xdr:nvSpPr>
              <xdr:cNvPr id="33821" name="Option Button 29" hidden="1">
                <a:extLst>
                  <a:ext uri="{63B3BB69-23CF-44E3-9099-C40C66FF867C}">
                    <a14:compatExt spid="_x0000_s33821"/>
                  </a:ext>
                </a:extLst>
              </xdr:cNvPr>
              <xdr:cNvSpPr/>
            </xdr:nvSpPr>
            <xdr:spPr bwMode="auto">
              <a:xfrm>
                <a:off x="1037" y="349"/>
                <a:ext cx="32"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41</xdr:row>
          <xdr:rowOff>0</xdr:rowOff>
        </xdr:from>
        <xdr:to>
          <xdr:col>10</xdr:col>
          <xdr:colOff>590550</xdr:colOff>
          <xdr:row>42</xdr:row>
          <xdr:rowOff>0</xdr:rowOff>
        </xdr:to>
        <xdr:grpSp>
          <xdr:nvGrpSpPr>
            <xdr:cNvPr id="6180454" name="Group 30"/>
            <xdr:cNvGrpSpPr>
              <a:grpSpLocks/>
            </xdr:cNvGrpSpPr>
          </xdr:nvGrpSpPr>
          <xdr:grpSpPr bwMode="auto">
            <a:xfrm>
              <a:off x="7829550" y="5562600"/>
              <a:ext cx="581025" cy="190500"/>
              <a:chOff x="762" y="543"/>
              <a:chExt cx="61" cy="29"/>
            </a:xfrm>
          </xdr:grpSpPr>
          <xdr:sp macro="" textlink="">
            <xdr:nvSpPr>
              <xdr:cNvPr id="33823" name="Group Box 31" hidden="1">
                <a:extLst>
                  <a:ext uri="{63B3BB69-23CF-44E3-9099-C40C66FF867C}">
                    <a14:compatExt spid="_x0000_s33823"/>
                  </a:ext>
                </a:extLst>
              </xdr:cNvPr>
              <xdr:cNvSpPr/>
            </xdr:nvSpPr>
            <xdr:spPr bwMode="auto">
              <a:xfrm>
                <a:off x="762" y="543"/>
                <a:ext cx="61" cy="29"/>
              </a:xfrm>
              <a:prstGeom prst="rect">
                <a:avLst/>
              </a:prstGeom>
              <a:noFill/>
              <a:ln w="12700">
                <a:miter lim="800000"/>
                <a:headEnd/>
                <a:tailEnd/>
              </a:ln>
              <a:extLst>
                <a:ext uri="{909E8E84-426E-40DD-AFC4-6F175D3DCCD1}">
                  <a14:hiddenFill>
                    <a:noFill/>
                  </a14:hiddenFill>
                </a:ext>
              </a:extLst>
            </xdr:spPr>
          </xdr:sp>
          <xdr:sp macro="" textlink="">
            <xdr:nvSpPr>
              <xdr:cNvPr id="33824" name="Option Button 32" hidden="1">
                <a:extLst>
                  <a:ext uri="{63B3BB69-23CF-44E3-9099-C40C66FF867C}">
                    <a14:compatExt spid="_x0000_s33824"/>
                  </a:ext>
                </a:extLst>
              </xdr:cNvPr>
              <xdr:cNvSpPr/>
            </xdr:nvSpPr>
            <xdr:spPr bwMode="auto">
              <a:xfrm>
                <a:off x="767" y="547"/>
                <a:ext cx="30"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sp macro="" textlink="">
            <xdr:nvSpPr>
              <xdr:cNvPr id="33825" name="Option Button 33" hidden="1">
                <a:extLst>
                  <a:ext uri="{63B3BB69-23CF-44E3-9099-C40C66FF867C}">
                    <a14:compatExt spid="_x0000_s33825"/>
                  </a:ext>
                </a:extLst>
              </xdr:cNvPr>
              <xdr:cNvSpPr/>
            </xdr:nvSpPr>
            <xdr:spPr bwMode="auto">
              <a:xfrm>
                <a:off x="793" y="547"/>
                <a:ext cx="30"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25</xdr:row>
          <xdr:rowOff>0</xdr:rowOff>
        </xdr:from>
        <xdr:to>
          <xdr:col>10</xdr:col>
          <xdr:colOff>590550</xdr:colOff>
          <xdr:row>26</xdr:row>
          <xdr:rowOff>0</xdr:rowOff>
        </xdr:to>
        <xdr:grpSp>
          <xdr:nvGrpSpPr>
            <xdr:cNvPr id="6180455" name="Group 34"/>
            <xdr:cNvGrpSpPr>
              <a:grpSpLocks/>
            </xdr:cNvGrpSpPr>
          </xdr:nvGrpSpPr>
          <xdr:grpSpPr bwMode="auto">
            <a:xfrm>
              <a:off x="7829550" y="3733800"/>
              <a:ext cx="581025" cy="190500"/>
              <a:chOff x="758" y="403"/>
              <a:chExt cx="61" cy="29"/>
            </a:xfrm>
          </xdr:grpSpPr>
          <xdr:sp macro="" textlink="">
            <xdr:nvSpPr>
              <xdr:cNvPr id="33827" name="Group Box 35" hidden="1">
                <a:extLst>
                  <a:ext uri="{63B3BB69-23CF-44E3-9099-C40C66FF867C}">
                    <a14:compatExt spid="_x0000_s33827"/>
                  </a:ext>
                </a:extLst>
              </xdr:cNvPr>
              <xdr:cNvSpPr/>
            </xdr:nvSpPr>
            <xdr:spPr bwMode="auto">
              <a:xfrm>
                <a:off x="758" y="403"/>
                <a:ext cx="61" cy="29"/>
              </a:xfrm>
              <a:prstGeom prst="rect">
                <a:avLst/>
              </a:prstGeom>
              <a:noFill/>
              <a:ln w="12700">
                <a:miter lim="800000"/>
                <a:headEnd/>
                <a:tailEnd/>
              </a:ln>
              <a:extLst>
                <a:ext uri="{909E8E84-426E-40DD-AFC4-6F175D3DCCD1}">
                  <a14:hiddenFill>
                    <a:noFill/>
                  </a14:hiddenFill>
                </a:ext>
              </a:extLst>
            </xdr:spPr>
          </xdr:sp>
          <xdr:sp macro="" textlink="">
            <xdr:nvSpPr>
              <xdr:cNvPr id="33828" name="Option Button 36" hidden="1">
                <a:extLst>
                  <a:ext uri="{63B3BB69-23CF-44E3-9099-C40C66FF867C}">
                    <a14:compatExt spid="_x0000_s33828"/>
                  </a:ext>
                </a:extLst>
              </xdr:cNvPr>
              <xdr:cNvSpPr/>
            </xdr:nvSpPr>
            <xdr:spPr bwMode="auto">
              <a:xfrm>
                <a:off x="763" y="407"/>
                <a:ext cx="30" cy="23"/>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sp macro="" textlink="">
            <xdr:nvSpPr>
              <xdr:cNvPr id="33829" name="Option Button 37" hidden="1">
                <a:extLst>
                  <a:ext uri="{63B3BB69-23CF-44E3-9099-C40C66FF867C}">
                    <a14:compatExt spid="_x0000_s33829"/>
                  </a:ext>
                </a:extLst>
              </xdr:cNvPr>
              <xdr:cNvSpPr/>
            </xdr:nvSpPr>
            <xdr:spPr bwMode="auto">
              <a:xfrm>
                <a:off x="789" y="407"/>
                <a:ext cx="30" cy="23"/>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14</xdr:col>
      <xdr:colOff>494347</xdr:colOff>
      <xdr:row>1</xdr:row>
      <xdr:rowOff>210502</xdr:rowOff>
    </xdr:from>
    <xdr:to>
      <xdr:col>19</xdr:col>
      <xdr:colOff>374</xdr:colOff>
      <xdr:row>2</xdr:row>
      <xdr:rowOff>39223</xdr:rowOff>
    </xdr:to>
    <xdr:sp macro="" textlink="">
      <xdr:nvSpPr>
        <xdr:cNvPr id="5" name="Text Box 474">
          <a:extLst>
            <a:ext uri="{FF2B5EF4-FFF2-40B4-BE49-F238E27FC236}">
              <a16:creationId xmlns="" xmlns:a16="http://schemas.microsoft.com/office/drawing/2014/main" id="{AB22C416-A7B4-429E-A5D2-A56B83D736DD}"/>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17</xdr:col>
      <xdr:colOff>122872</xdr:colOff>
      <xdr:row>1</xdr:row>
      <xdr:rowOff>40005</xdr:rowOff>
    </xdr:from>
    <xdr:to>
      <xdr:col>18</xdr:col>
      <xdr:colOff>86735</xdr:colOff>
      <xdr:row>1</xdr:row>
      <xdr:rowOff>247651</xdr:rowOff>
    </xdr:to>
    <xdr:sp macro="" textlink="">
      <xdr:nvSpPr>
        <xdr:cNvPr id="6" name="Text Box 706">
          <a:extLst>
            <a:ext uri="{FF2B5EF4-FFF2-40B4-BE49-F238E27FC236}">
              <a16:creationId xmlns="" xmlns:a16="http://schemas.microsoft.com/office/drawing/2014/main" id="{98011733-84F1-43AB-81C9-2333D20273BC}"/>
            </a:ext>
          </a:extLst>
        </xdr:cNvPr>
        <xdr:cNvSpPr txBox="1">
          <a:spLocks noChangeArrowheads="1"/>
        </xdr:cNvSpPr>
      </xdr:nvSpPr>
      <xdr:spPr bwMode="auto">
        <a:xfrm>
          <a:off x="9304020" y="129540"/>
          <a:ext cx="57150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76200</xdr:colOff>
      <xdr:row>1</xdr:row>
      <xdr:rowOff>66675</xdr:rowOff>
    </xdr:from>
    <xdr:to>
      <xdr:col>2</xdr:col>
      <xdr:colOff>295275</xdr:colOff>
      <xdr:row>1</xdr:row>
      <xdr:rowOff>428625</xdr:rowOff>
    </xdr:to>
    <xdr:pic>
      <xdr:nvPicPr>
        <xdr:cNvPr id="4818813" name="Picture 7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171450"/>
          <a:ext cx="333375" cy="36195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639127</xdr:colOff>
      <xdr:row>1</xdr:row>
      <xdr:rowOff>38100</xdr:rowOff>
    </xdr:from>
    <xdr:to>
      <xdr:col>6</xdr:col>
      <xdr:colOff>38153</xdr:colOff>
      <xdr:row>2</xdr:row>
      <xdr:rowOff>0</xdr:rowOff>
    </xdr:to>
    <xdr:sp macro="" textlink="">
      <xdr:nvSpPr>
        <xdr:cNvPr id="2" name="TextBox 1">
          <a:hlinkClick xmlns:r="http://schemas.openxmlformats.org/officeDocument/2006/relationships" r:id="rId3"/>
          <a:extLst>
            <a:ext uri="{FF2B5EF4-FFF2-40B4-BE49-F238E27FC236}">
              <a16:creationId xmlns="" xmlns:a16="http://schemas.microsoft.com/office/drawing/2014/main" id="{F24079EB-1EE8-4E90-AA7D-72DEC0BDC2FB}"/>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264795</xdr:colOff>
      <xdr:row>22</xdr:row>
      <xdr:rowOff>1905</xdr:rowOff>
    </xdr:from>
    <xdr:to>
      <xdr:col>3</xdr:col>
      <xdr:colOff>493792</xdr:colOff>
      <xdr:row>22</xdr:row>
      <xdr:rowOff>151786</xdr:rowOff>
    </xdr:to>
    <xdr:sp macro="" textlink="">
      <xdr:nvSpPr>
        <xdr:cNvPr id="9218" name="Text Box 2">
          <a:hlinkClick xmlns:r="http://schemas.openxmlformats.org/officeDocument/2006/relationships" r:id="rId1"/>
          <a:extLst>
            <a:ext uri="{FF2B5EF4-FFF2-40B4-BE49-F238E27FC236}">
              <a16:creationId xmlns="" xmlns:a16="http://schemas.microsoft.com/office/drawing/2014/main" id="{FFC839D1-D66F-4120-8703-F6F648861533}"/>
            </a:ext>
          </a:extLst>
        </xdr:cNvPr>
        <xdr:cNvSpPr txBox="1">
          <a:spLocks noChangeArrowheads="1"/>
        </xdr:cNvSpPr>
      </xdr:nvSpPr>
      <xdr:spPr bwMode="auto">
        <a:xfrm>
          <a:off x="4451985" y="3301365"/>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264795</xdr:colOff>
      <xdr:row>23</xdr:row>
      <xdr:rowOff>0</xdr:rowOff>
    </xdr:from>
    <xdr:to>
      <xdr:col>3</xdr:col>
      <xdr:colOff>493792</xdr:colOff>
      <xdr:row>23</xdr:row>
      <xdr:rowOff>152186</xdr:rowOff>
    </xdr:to>
    <xdr:sp macro="" textlink="">
      <xdr:nvSpPr>
        <xdr:cNvPr id="9219" name="Text Box 3">
          <a:hlinkClick xmlns:r="http://schemas.openxmlformats.org/officeDocument/2006/relationships" r:id="rId2"/>
          <a:extLst>
            <a:ext uri="{FF2B5EF4-FFF2-40B4-BE49-F238E27FC236}">
              <a16:creationId xmlns="" xmlns:a16="http://schemas.microsoft.com/office/drawing/2014/main" id="{3C3BAF46-22BB-4AFE-881C-82E18735F5DA}"/>
            </a:ext>
          </a:extLst>
        </xdr:cNvPr>
        <xdr:cNvSpPr txBox="1">
          <a:spLocks noChangeArrowheads="1"/>
        </xdr:cNvSpPr>
      </xdr:nvSpPr>
      <xdr:spPr bwMode="auto">
        <a:xfrm>
          <a:off x="4422401" y="350520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264795</xdr:colOff>
      <xdr:row>25</xdr:row>
      <xdr:rowOff>20955</xdr:rowOff>
    </xdr:from>
    <xdr:to>
      <xdr:col>3</xdr:col>
      <xdr:colOff>493792</xdr:colOff>
      <xdr:row>25</xdr:row>
      <xdr:rowOff>172021</xdr:rowOff>
    </xdr:to>
    <xdr:sp macro="" textlink="">
      <xdr:nvSpPr>
        <xdr:cNvPr id="9220" name="Text Box 4">
          <a:hlinkClick xmlns:r="http://schemas.openxmlformats.org/officeDocument/2006/relationships" r:id="rId3"/>
          <a:extLst>
            <a:ext uri="{FF2B5EF4-FFF2-40B4-BE49-F238E27FC236}">
              <a16:creationId xmlns="" xmlns:a16="http://schemas.microsoft.com/office/drawing/2014/main" id="{64DB786A-3F79-4CC7-ACA0-7B027E5C4291}"/>
            </a:ext>
          </a:extLst>
        </xdr:cNvPr>
        <xdr:cNvSpPr txBox="1">
          <a:spLocks noChangeArrowheads="1"/>
        </xdr:cNvSpPr>
      </xdr:nvSpPr>
      <xdr:spPr bwMode="auto">
        <a:xfrm>
          <a:off x="4451985" y="399669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264795</xdr:colOff>
      <xdr:row>14</xdr:row>
      <xdr:rowOff>20955</xdr:rowOff>
    </xdr:from>
    <xdr:to>
      <xdr:col>3</xdr:col>
      <xdr:colOff>493792</xdr:colOff>
      <xdr:row>15</xdr:row>
      <xdr:rowOff>17411</xdr:rowOff>
    </xdr:to>
    <xdr:sp macro="" textlink="">
      <xdr:nvSpPr>
        <xdr:cNvPr id="9221" name="Text Box 5">
          <a:hlinkClick xmlns:r="http://schemas.openxmlformats.org/officeDocument/2006/relationships" r:id="rId4"/>
          <a:extLst>
            <a:ext uri="{FF2B5EF4-FFF2-40B4-BE49-F238E27FC236}">
              <a16:creationId xmlns="" xmlns:a16="http://schemas.microsoft.com/office/drawing/2014/main" id="{13355241-2392-46A0-87AB-2634B6AF12B1}"/>
            </a:ext>
          </a:extLst>
        </xdr:cNvPr>
        <xdr:cNvSpPr txBox="1">
          <a:spLocks noChangeArrowheads="1"/>
        </xdr:cNvSpPr>
      </xdr:nvSpPr>
      <xdr:spPr bwMode="auto">
        <a:xfrm>
          <a:off x="4422401" y="218088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264795</xdr:colOff>
      <xdr:row>24</xdr:row>
      <xdr:rowOff>19050</xdr:rowOff>
    </xdr:from>
    <xdr:to>
      <xdr:col>3</xdr:col>
      <xdr:colOff>493792</xdr:colOff>
      <xdr:row>24</xdr:row>
      <xdr:rowOff>151232</xdr:rowOff>
    </xdr:to>
    <xdr:sp macro="" textlink="">
      <xdr:nvSpPr>
        <xdr:cNvPr id="9222" name="Text Box 6">
          <a:hlinkClick xmlns:r="http://schemas.openxmlformats.org/officeDocument/2006/relationships" r:id="rId5"/>
          <a:extLst>
            <a:ext uri="{FF2B5EF4-FFF2-40B4-BE49-F238E27FC236}">
              <a16:creationId xmlns="" xmlns:a16="http://schemas.microsoft.com/office/drawing/2014/main" id="{04E01998-E15C-49D8-9354-E601E54ED1A4}"/>
            </a:ext>
          </a:extLst>
        </xdr:cNvPr>
        <xdr:cNvSpPr txBox="1">
          <a:spLocks noChangeArrowheads="1"/>
        </xdr:cNvSpPr>
      </xdr:nvSpPr>
      <xdr:spPr bwMode="auto">
        <a:xfrm>
          <a:off x="4422401" y="3680572"/>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105727</xdr:colOff>
      <xdr:row>2</xdr:row>
      <xdr:rowOff>95250</xdr:rowOff>
    </xdr:from>
    <xdr:to>
      <xdr:col>2</xdr:col>
      <xdr:colOff>323863</xdr:colOff>
      <xdr:row>3</xdr:row>
      <xdr:rowOff>132180</xdr:rowOff>
    </xdr:to>
    <xdr:sp macro="" textlink="">
      <xdr:nvSpPr>
        <xdr:cNvPr id="9223" name="Text Box 7">
          <a:extLst>
            <a:ext uri="{FF2B5EF4-FFF2-40B4-BE49-F238E27FC236}">
              <a16:creationId xmlns="" xmlns:a16="http://schemas.microsoft.com/office/drawing/2014/main" id="{A9001B83-B15F-48F7-94FF-6CA0A984786F}"/>
            </a:ext>
          </a:extLst>
        </xdr:cNvPr>
        <xdr:cNvSpPr txBox="1">
          <a:spLocks noChangeArrowheads="1"/>
        </xdr:cNvSpPr>
      </xdr:nvSpPr>
      <xdr:spPr bwMode="auto">
        <a:xfrm>
          <a:off x="276225" y="702945"/>
          <a:ext cx="219075" cy="131731"/>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372427</xdr:colOff>
      <xdr:row>2</xdr:row>
      <xdr:rowOff>76200</xdr:rowOff>
    </xdr:from>
    <xdr:to>
      <xdr:col>2</xdr:col>
      <xdr:colOff>1744027</xdr:colOff>
      <xdr:row>3</xdr:row>
      <xdr:rowOff>154411</xdr:rowOff>
    </xdr:to>
    <xdr:sp macro="" textlink="">
      <xdr:nvSpPr>
        <xdr:cNvPr id="9224" name="Text Box 8">
          <a:extLst>
            <a:ext uri="{FF2B5EF4-FFF2-40B4-BE49-F238E27FC236}">
              <a16:creationId xmlns="" xmlns:a16="http://schemas.microsoft.com/office/drawing/2014/main" id="{1B228868-1029-4188-B1F9-62CF6550078A}"/>
            </a:ext>
          </a:extLst>
        </xdr:cNvPr>
        <xdr:cNvSpPr txBox="1">
          <a:spLocks noChangeArrowheads="1"/>
        </xdr:cNvSpPr>
      </xdr:nvSpPr>
      <xdr:spPr bwMode="auto">
        <a:xfrm>
          <a:off x="544830" y="632460"/>
          <a:ext cx="1409700" cy="167640"/>
        </a:xfrm>
        <a:prstGeom prst="rect">
          <a:avLst/>
        </a:prstGeom>
        <a:no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Click to access definition</a:t>
          </a:r>
        </a:p>
      </xdr:txBody>
    </xdr:sp>
    <xdr:clientData/>
  </xdr:twoCellAnchor>
  <xdr:twoCellAnchor>
    <xdr:from>
      <xdr:col>3</xdr:col>
      <xdr:colOff>267640</xdr:colOff>
      <xdr:row>62</xdr:row>
      <xdr:rowOff>38100</xdr:rowOff>
    </xdr:from>
    <xdr:to>
      <xdr:col>3</xdr:col>
      <xdr:colOff>496637</xdr:colOff>
      <xdr:row>63</xdr:row>
      <xdr:rowOff>18558</xdr:rowOff>
    </xdr:to>
    <xdr:sp macro="" textlink="">
      <xdr:nvSpPr>
        <xdr:cNvPr id="9229" name="Text Box 13">
          <a:hlinkClick xmlns:r="http://schemas.openxmlformats.org/officeDocument/2006/relationships" r:id="rId6"/>
          <a:extLst>
            <a:ext uri="{FF2B5EF4-FFF2-40B4-BE49-F238E27FC236}">
              <a16:creationId xmlns="" xmlns:a16="http://schemas.microsoft.com/office/drawing/2014/main" id="{19F8A48E-F616-4038-8060-6401D03BF85E}"/>
            </a:ext>
          </a:extLst>
        </xdr:cNvPr>
        <xdr:cNvSpPr txBox="1">
          <a:spLocks noChangeArrowheads="1"/>
        </xdr:cNvSpPr>
      </xdr:nvSpPr>
      <xdr:spPr bwMode="auto">
        <a:xfrm>
          <a:off x="4420484" y="8289551"/>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267640</xdr:colOff>
      <xdr:row>61</xdr:row>
      <xdr:rowOff>19050</xdr:rowOff>
    </xdr:from>
    <xdr:to>
      <xdr:col>3</xdr:col>
      <xdr:colOff>496637</xdr:colOff>
      <xdr:row>62</xdr:row>
      <xdr:rowOff>18228</xdr:rowOff>
    </xdr:to>
    <xdr:sp macro="" textlink="">
      <xdr:nvSpPr>
        <xdr:cNvPr id="9230" name="Text Box 14">
          <a:hlinkClick xmlns:r="http://schemas.openxmlformats.org/officeDocument/2006/relationships" r:id="rId7"/>
          <a:extLst>
            <a:ext uri="{FF2B5EF4-FFF2-40B4-BE49-F238E27FC236}">
              <a16:creationId xmlns="" xmlns:a16="http://schemas.microsoft.com/office/drawing/2014/main" id="{EC2CAB71-3040-4315-AE2E-58C8B0D8C125}"/>
            </a:ext>
          </a:extLst>
        </xdr:cNvPr>
        <xdr:cNvSpPr txBox="1">
          <a:spLocks noChangeArrowheads="1"/>
        </xdr:cNvSpPr>
      </xdr:nvSpPr>
      <xdr:spPr bwMode="auto">
        <a:xfrm>
          <a:off x="4420484" y="811417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268201</xdr:colOff>
      <xdr:row>42</xdr:row>
      <xdr:rowOff>36698</xdr:rowOff>
    </xdr:from>
    <xdr:to>
      <xdr:col>3</xdr:col>
      <xdr:colOff>497198</xdr:colOff>
      <xdr:row>43</xdr:row>
      <xdr:rowOff>17157</xdr:rowOff>
    </xdr:to>
    <xdr:sp macro="" textlink="">
      <xdr:nvSpPr>
        <xdr:cNvPr id="9231" name="Text Box 15">
          <a:hlinkClick xmlns:r="http://schemas.openxmlformats.org/officeDocument/2006/relationships" r:id="rId8"/>
          <a:extLst>
            <a:ext uri="{FF2B5EF4-FFF2-40B4-BE49-F238E27FC236}">
              <a16:creationId xmlns="" xmlns:a16="http://schemas.microsoft.com/office/drawing/2014/main" id="{3769B60B-17A7-40ED-8622-6CB9662A5271}"/>
            </a:ext>
          </a:extLst>
        </xdr:cNvPr>
        <xdr:cNvSpPr txBox="1">
          <a:spLocks noChangeArrowheads="1"/>
        </xdr:cNvSpPr>
      </xdr:nvSpPr>
      <xdr:spPr bwMode="auto">
        <a:xfrm>
          <a:off x="4421045" y="5858435"/>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268201</xdr:colOff>
      <xdr:row>41</xdr:row>
      <xdr:rowOff>37819</xdr:rowOff>
    </xdr:from>
    <xdr:to>
      <xdr:col>3</xdr:col>
      <xdr:colOff>497198</xdr:colOff>
      <xdr:row>41</xdr:row>
      <xdr:rowOff>173550</xdr:rowOff>
    </xdr:to>
    <xdr:sp macro="" textlink="">
      <xdr:nvSpPr>
        <xdr:cNvPr id="9232" name="Text Box 16">
          <a:hlinkClick xmlns:r="http://schemas.openxmlformats.org/officeDocument/2006/relationships" r:id="rId9"/>
          <a:extLst>
            <a:ext uri="{FF2B5EF4-FFF2-40B4-BE49-F238E27FC236}">
              <a16:creationId xmlns="" xmlns:a16="http://schemas.microsoft.com/office/drawing/2014/main" id="{3DBA13C8-91FF-42E2-8A97-806725BD79B1}"/>
            </a:ext>
          </a:extLst>
        </xdr:cNvPr>
        <xdr:cNvSpPr txBox="1">
          <a:spLocks noChangeArrowheads="1"/>
        </xdr:cNvSpPr>
      </xdr:nvSpPr>
      <xdr:spPr bwMode="auto">
        <a:xfrm>
          <a:off x="4421045" y="566681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267640</xdr:colOff>
      <xdr:row>66</xdr:row>
      <xdr:rowOff>20002</xdr:rowOff>
    </xdr:from>
    <xdr:to>
      <xdr:col>3</xdr:col>
      <xdr:colOff>496637</xdr:colOff>
      <xdr:row>66</xdr:row>
      <xdr:rowOff>153782</xdr:rowOff>
    </xdr:to>
    <xdr:sp macro="" textlink="">
      <xdr:nvSpPr>
        <xdr:cNvPr id="9237" name="Text Box 21">
          <a:hlinkClick xmlns:r="http://schemas.openxmlformats.org/officeDocument/2006/relationships" r:id="rId10"/>
          <a:extLst>
            <a:ext uri="{FF2B5EF4-FFF2-40B4-BE49-F238E27FC236}">
              <a16:creationId xmlns="" xmlns:a16="http://schemas.microsoft.com/office/drawing/2014/main" id="{21134E47-1B0F-484E-9FB7-DE6945C41D0F}"/>
            </a:ext>
          </a:extLst>
        </xdr:cNvPr>
        <xdr:cNvSpPr txBox="1">
          <a:spLocks noChangeArrowheads="1"/>
        </xdr:cNvSpPr>
      </xdr:nvSpPr>
      <xdr:spPr bwMode="auto">
        <a:xfrm>
          <a:off x="4419588" y="8913495"/>
          <a:ext cx="219456" cy="148097"/>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267640</xdr:colOff>
      <xdr:row>68</xdr:row>
      <xdr:rowOff>38100</xdr:rowOff>
    </xdr:from>
    <xdr:to>
      <xdr:col>3</xdr:col>
      <xdr:colOff>496637</xdr:colOff>
      <xdr:row>69</xdr:row>
      <xdr:rowOff>18559</xdr:rowOff>
    </xdr:to>
    <xdr:sp macro="" textlink="">
      <xdr:nvSpPr>
        <xdr:cNvPr id="9238" name="Text Box 22">
          <a:hlinkClick xmlns:r="http://schemas.openxmlformats.org/officeDocument/2006/relationships" r:id="rId11"/>
          <a:extLst>
            <a:ext uri="{FF2B5EF4-FFF2-40B4-BE49-F238E27FC236}">
              <a16:creationId xmlns="" xmlns:a16="http://schemas.microsoft.com/office/drawing/2014/main" id="{E10A5B29-86F7-4C1C-9A1D-A09BBDF0A351}"/>
            </a:ext>
          </a:extLst>
        </xdr:cNvPr>
        <xdr:cNvSpPr txBox="1">
          <a:spLocks noChangeArrowheads="1"/>
        </xdr:cNvSpPr>
      </xdr:nvSpPr>
      <xdr:spPr bwMode="auto">
        <a:xfrm>
          <a:off x="4420484" y="928463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17145</xdr:colOff>
      <xdr:row>6</xdr:row>
      <xdr:rowOff>76200</xdr:rowOff>
    </xdr:from>
    <xdr:to>
      <xdr:col>15</xdr:col>
      <xdr:colOff>1</xdr:colOff>
      <xdr:row>7</xdr:row>
      <xdr:rowOff>152400</xdr:rowOff>
    </xdr:to>
    <xdr:sp macro="" textlink="">
      <xdr:nvSpPr>
        <xdr:cNvPr id="9241" name="Text Box 25">
          <a:extLst>
            <a:ext uri="{FF2B5EF4-FFF2-40B4-BE49-F238E27FC236}">
              <a16:creationId xmlns="" xmlns:a16="http://schemas.microsoft.com/office/drawing/2014/main" id="{89253CFF-B74F-41C4-8B59-71D651061A2B}"/>
            </a:ext>
          </a:extLst>
        </xdr:cNvPr>
        <xdr:cNvSpPr txBox="1">
          <a:spLocks noChangeArrowheads="1"/>
        </xdr:cNvSpPr>
      </xdr:nvSpPr>
      <xdr:spPr bwMode="auto">
        <a:xfrm>
          <a:off x="180975" y="1133475"/>
          <a:ext cx="9496425" cy="30480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Please enter data in the white cells below. Where available, metered values should be used; if metered values are unavailable please estimate a value. Indicate your confidence in the accuracy of the input data by grading each component (n/a or 1-10) using the drop-down list to the left of the input cell. Hover the mouse over the cell to obtain a description of the grades</a:t>
          </a:r>
        </a:p>
      </xdr:txBody>
    </xdr:sp>
    <xdr:clientData/>
  </xdr:twoCellAnchor>
  <xdr:twoCellAnchor>
    <xdr:from>
      <xdr:col>3</xdr:col>
      <xdr:colOff>267921</xdr:colOff>
      <xdr:row>77</xdr:row>
      <xdr:rowOff>17817</xdr:rowOff>
    </xdr:from>
    <xdr:to>
      <xdr:col>3</xdr:col>
      <xdr:colOff>496918</xdr:colOff>
      <xdr:row>78</xdr:row>
      <xdr:rowOff>799</xdr:rowOff>
    </xdr:to>
    <xdr:sp macro="" textlink="">
      <xdr:nvSpPr>
        <xdr:cNvPr id="9253" name="Text Box 37">
          <a:hlinkClick xmlns:r="http://schemas.openxmlformats.org/officeDocument/2006/relationships" r:id="rId12"/>
          <a:extLst>
            <a:ext uri="{FF2B5EF4-FFF2-40B4-BE49-F238E27FC236}">
              <a16:creationId xmlns="" xmlns:a16="http://schemas.microsoft.com/office/drawing/2014/main" id="{7D614C3A-4ECB-442B-A6D2-9E5D605C4EFD}"/>
            </a:ext>
          </a:extLst>
        </xdr:cNvPr>
        <xdr:cNvSpPr txBox="1">
          <a:spLocks noChangeArrowheads="1"/>
        </xdr:cNvSpPr>
      </xdr:nvSpPr>
      <xdr:spPr bwMode="auto">
        <a:xfrm>
          <a:off x="4425527" y="10320841"/>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264795</xdr:colOff>
      <xdr:row>15</xdr:row>
      <xdr:rowOff>38064</xdr:rowOff>
    </xdr:from>
    <xdr:to>
      <xdr:col>3</xdr:col>
      <xdr:colOff>493792</xdr:colOff>
      <xdr:row>16</xdr:row>
      <xdr:rowOff>195</xdr:rowOff>
    </xdr:to>
    <xdr:sp macro="" textlink="">
      <xdr:nvSpPr>
        <xdr:cNvPr id="9311" name="Text Box 95">
          <a:hlinkClick xmlns:r="http://schemas.openxmlformats.org/officeDocument/2006/relationships" r:id="rId13"/>
          <a:extLst>
            <a:ext uri="{FF2B5EF4-FFF2-40B4-BE49-F238E27FC236}">
              <a16:creationId xmlns="" xmlns:a16="http://schemas.microsoft.com/office/drawing/2014/main" id="{6F7ACCD3-614A-43A3-8980-3A461EF108EC}"/>
            </a:ext>
          </a:extLst>
        </xdr:cNvPr>
        <xdr:cNvSpPr txBox="1">
          <a:spLocks noChangeArrowheads="1"/>
        </xdr:cNvSpPr>
      </xdr:nvSpPr>
      <xdr:spPr bwMode="auto">
        <a:xfrm>
          <a:off x="4422401" y="2349558"/>
          <a:ext cx="219456" cy="146304"/>
        </a:xfrm>
        <a:prstGeom prst="rect">
          <a:avLst/>
        </a:prstGeom>
        <a:solidFill>
          <a:schemeClr val="accent1"/>
        </a:solidFill>
        <a:ln w="9525">
          <a:solidFill>
            <a:schemeClr val="bg1"/>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264795</xdr:colOff>
      <xdr:row>16</xdr:row>
      <xdr:rowOff>20955</xdr:rowOff>
    </xdr:from>
    <xdr:to>
      <xdr:col>3</xdr:col>
      <xdr:colOff>493792</xdr:colOff>
      <xdr:row>17</xdr:row>
      <xdr:rowOff>18097</xdr:rowOff>
    </xdr:to>
    <xdr:sp macro="" textlink="">
      <xdr:nvSpPr>
        <xdr:cNvPr id="9312" name="Text Box 96">
          <a:hlinkClick xmlns:r="http://schemas.openxmlformats.org/officeDocument/2006/relationships" r:id="rId14"/>
          <a:extLst>
            <a:ext uri="{FF2B5EF4-FFF2-40B4-BE49-F238E27FC236}">
              <a16:creationId xmlns="" xmlns:a16="http://schemas.microsoft.com/office/drawing/2014/main" id="{8A9C0711-D227-471D-A036-CB25C0EFDDB9}"/>
            </a:ext>
          </a:extLst>
        </xdr:cNvPr>
        <xdr:cNvSpPr txBox="1">
          <a:spLocks noChangeArrowheads="1"/>
        </xdr:cNvSpPr>
      </xdr:nvSpPr>
      <xdr:spPr bwMode="auto">
        <a:xfrm>
          <a:off x="4422401" y="2520203"/>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268201</xdr:colOff>
      <xdr:row>37</xdr:row>
      <xdr:rowOff>37819</xdr:rowOff>
    </xdr:from>
    <xdr:to>
      <xdr:col>3</xdr:col>
      <xdr:colOff>497198</xdr:colOff>
      <xdr:row>37</xdr:row>
      <xdr:rowOff>173550</xdr:rowOff>
    </xdr:to>
    <xdr:sp macro="" textlink="">
      <xdr:nvSpPr>
        <xdr:cNvPr id="9313" name="Text Box 97">
          <a:hlinkClick xmlns:r="http://schemas.openxmlformats.org/officeDocument/2006/relationships" r:id="rId15"/>
          <a:extLst>
            <a:ext uri="{FF2B5EF4-FFF2-40B4-BE49-F238E27FC236}">
              <a16:creationId xmlns="" xmlns:a16="http://schemas.microsoft.com/office/drawing/2014/main" id="{F19F042D-1206-4B1C-BB2B-D9183D4F5F74}"/>
            </a:ext>
          </a:extLst>
        </xdr:cNvPr>
        <xdr:cNvSpPr txBox="1">
          <a:spLocks noChangeArrowheads="1"/>
        </xdr:cNvSpPr>
      </xdr:nvSpPr>
      <xdr:spPr bwMode="auto">
        <a:xfrm>
          <a:off x="4421045" y="5236508"/>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267921</xdr:colOff>
      <xdr:row>76</xdr:row>
      <xdr:rowOff>37819</xdr:rowOff>
    </xdr:from>
    <xdr:to>
      <xdr:col>3</xdr:col>
      <xdr:colOff>496918</xdr:colOff>
      <xdr:row>76</xdr:row>
      <xdr:rowOff>173550</xdr:rowOff>
    </xdr:to>
    <xdr:sp macro="" textlink="">
      <xdr:nvSpPr>
        <xdr:cNvPr id="9315" name="Text Box 99">
          <a:hlinkClick xmlns:r="http://schemas.openxmlformats.org/officeDocument/2006/relationships" r:id="rId16"/>
          <a:extLst>
            <a:ext uri="{FF2B5EF4-FFF2-40B4-BE49-F238E27FC236}">
              <a16:creationId xmlns="" xmlns:a16="http://schemas.microsoft.com/office/drawing/2014/main" id="{A368A8E5-F2A6-43A2-A3E3-D73717A5B656}"/>
            </a:ext>
          </a:extLst>
        </xdr:cNvPr>
        <xdr:cNvSpPr txBox="1">
          <a:spLocks noChangeArrowheads="1"/>
        </xdr:cNvSpPr>
      </xdr:nvSpPr>
      <xdr:spPr bwMode="auto">
        <a:xfrm>
          <a:off x="4425527" y="1015365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267921</xdr:colOff>
      <xdr:row>75</xdr:row>
      <xdr:rowOff>37819</xdr:rowOff>
    </xdr:from>
    <xdr:to>
      <xdr:col>3</xdr:col>
      <xdr:colOff>496918</xdr:colOff>
      <xdr:row>75</xdr:row>
      <xdr:rowOff>173550</xdr:rowOff>
    </xdr:to>
    <xdr:sp macro="" textlink="">
      <xdr:nvSpPr>
        <xdr:cNvPr id="9316" name="Text Box 100">
          <a:hlinkClick xmlns:r="http://schemas.openxmlformats.org/officeDocument/2006/relationships" r:id="rId17"/>
          <a:extLst>
            <a:ext uri="{FF2B5EF4-FFF2-40B4-BE49-F238E27FC236}">
              <a16:creationId xmlns="" xmlns:a16="http://schemas.microsoft.com/office/drawing/2014/main" id="{3112E85B-6820-45F6-B04A-69065EB73AEC}"/>
            </a:ext>
          </a:extLst>
        </xdr:cNvPr>
        <xdr:cNvSpPr txBox="1">
          <a:spLocks noChangeArrowheads="1"/>
        </xdr:cNvSpPr>
      </xdr:nvSpPr>
      <xdr:spPr bwMode="auto">
        <a:xfrm>
          <a:off x="4425527" y="9978838"/>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448627</xdr:colOff>
      <xdr:row>65</xdr:row>
      <xdr:rowOff>58102</xdr:rowOff>
    </xdr:from>
    <xdr:to>
      <xdr:col>13</xdr:col>
      <xdr:colOff>160023</xdr:colOff>
      <xdr:row>67</xdr:row>
      <xdr:rowOff>55289</xdr:rowOff>
    </xdr:to>
    <xdr:sp macro="" textlink="">
      <xdr:nvSpPr>
        <xdr:cNvPr id="9343" name="Rectangle 127">
          <a:extLst>
            <a:ext uri="{FF2B5EF4-FFF2-40B4-BE49-F238E27FC236}">
              <a16:creationId xmlns="" xmlns:a16="http://schemas.microsoft.com/office/drawing/2014/main" id="{E46130D6-539F-46A6-9257-66270F0E9907}"/>
            </a:ext>
          </a:extLst>
        </xdr:cNvPr>
        <xdr:cNvSpPr>
          <a:spLocks noChangeArrowheads="1"/>
        </xdr:cNvSpPr>
      </xdr:nvSpPr>
      <xdr:spPr bwMode="auto">
        <a:xfrm>
          <a:off x="6722745" y="8831580"/>
          <a:ext cx="2634615" cy="337229"/>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000000"/>
              </a:solidFill>
              <a:latin typeface="Arial" pitchFamily="34" charset="0"/>
              <a:cs typeface="Arial" pitchFamily="34" charset="0"/>
            </a:rPr>
            <a:t>(length of service line, </a:t>
          </a:r>
          <a:r>
            <a:rPr lang="en-US" sz="900" b="0" i="0" u="sng" strike="noStrike" baseline="0">
              <a:solidFill>
                <a:srgbClr val="000000"/>
              </a:solidFill>
              <a:latin typeface="Arial" pitchFamily="34" charset="0"/>
              <a:cs typeface="Arial" pitchFamily="34" charset="0"/>
            </a:rPr>
            <a:t>beyond</a:t>
          </a:r>
          <a:r>
            <a:rPr lang="en-US" sz="900" b="0" i="0" u="none" strike="noStrike" baseline="0">
              <a:solidFill>
                <a:srgbClr val="000000"/>
              </a:solidFill>
              <a:latin typeface="Arial" pitchFamily="34" charset="0"/>
              <a:cs typeface="Arial" pitchFamily="34" charset="0"/>
            </a:rPr>
            <a:t> the property boundary, that is the responsibility of the utility)</a:t>
          </a:r>
        </a:p>
      </xdr:txBody>
    </xdr:sp>
    <xdr:clientData/>
  </xdr:twoCellAnchor>
  <xdr:twoCellAnchor>
    <xdr:from>
      <xdr:col>12</xdr:col>
      <xdr:colOff>229552</xdr:colOff>
      <xdr:row>27</xdr:row>
      <xdr:rowOff>152400</xdr:rowOff>
    </xdr:from>
    <xdr:to>
      <xdr:col>15</xdr:col>
      <xdr:colOff>142217</xdr:colOff>
      <xdr:row>36</xdr:row>
      <xdr:rowOff>17124</xdr:rowOff>
    </xdr:to>
    <xdr:sp macro="" textlink="">
      <xdr:nvSpPr>
        <xdr:cNvPr id="9442" name="Text Box 226">
          <a:extLst>
            <a:ext uri="{FF2B5EF4-FFF2-40B4-BE49-F238E27FC236}">
              <a16:creationId xmlns="" xmlns:a16="http://schemas.microsoft.com/office/drawing/2014/main" id="{9DE33F65-E313-41CF-85E2-8ABB3051E4EC}"/>
            </a:ext>
          </a:extLst>
        </xdr:cNvPr>
        <xdr:cNvSpPr txBox="1">
          <a:spLocks noChangeArrowheads="1"/>
        </xdr:cNvSpPr>
      </xdr:nvSpPr>
      <xdr:spPr bwMode="auto">
        <a:xfrm>
          <a:off x="8804910" y="4351020"/>
          <a:ext cx="1480202" cy="838200"/>
        </a:xfrm>
        <a:prstGeom prst="rect">
          <a:avLst/>
        </a:prstGeom>
        <a:noFill/>
        <a:ln w="12700" algn="ctr">
          <a:noFill/>
          <a:miter lim="800000"/>
          <a:headEnd/>
          <a:tailEnd/>
        </a:ln>
        <a:effectLst/>
      </xdr:spPr>
      <xdr:txBody>
        <a:bodyPr vertOverflow="clip" wrap="square" lIns="27432" tIns="22860" rIns="27432" bIns="0" anchor="t" upright="1"/>
        <a:lstStyle/>
        <a:p>
          <a:pPr algn="ctr" rtl="0">
            <a:defRPr sz="1000"/>
          </a:pPr>
          <a:r>
            <a:rPr lang="en-US" sz="900" b="0" i="0" u="none" strike="noStrike" baseline="0">
              <a:solidFill>
                <a:srgbClr val="000000"/>
              </a:solidFill>
              <a:latin typeface="Arial"/>
              <a:cs typeface="Arial"/>
            </a:rPr>
            <a:t>Use buttons to select</a:t>
          </a:r>
        </a:p>
        <a:p>
          <a:pPr algn="ctr" rtl="0">
            <a:defRPr sz="1000"/>
          </a:pPr>
          <a:r>
            <a:rPr lang="en-US" sz="900" b="0" i="0" u="none" strike="noStrike" baseline="0">
              <a:solidFill>
                <a:srgbClr val="000000"/>
              </a:solidFill>
              <a:latin typeface="Arial"/>
              <a:cs typeface="Arial"/>
            </a:rPr>
            <a:t>percentage of water supplied</a:t>
          </a:r>
        </a:p>
        <a:p>
          <a:pPr algn="ctr" rtl="0">
            <a:defRPr sz="1000"/>
          </a:pPr>
          <a:r>
            <a:rPr lang="en-US" sz="900" b="1" i="0" u="sng" strike="noStrike" baseline="0">
              <a:solidFill>
                <a:srgbClr val="000000"/>
              </a:solidFill>
              <a:latin typeface="Arial"/>
              <a:cs typeface="Arial"/>
            </a:rPr>
            <a:t>OR</a:t>
          </a:r>
        </a:p>
        <a:p>
          <a:pPr algn="ctr" rtl="0">
            <a:defRPr sz="1000"/>
          </a:pPr>
          <a:r>
            <a:rPr lang="en-US" sz="900" b="0" i="0" u="none" strike="noStrike" baseline="0">
              <a:solidFill>
                <a:srgbClr val="000000"/>
              </a:solidFill>
              <a:latin typeface="Arial"/>
              <a:cs typeface="Arial"/>
            </a:rPr>
            <a:t>value</a:t>
          </a:r>
        </a:p>
      </xdr:txBody>
    </xdr:sp>
    <xdr:clientData/>
  </xdr:twoCellAnchor>
  <xdr:twoCellAnchor>
    <xdr:from>
      <xdr:col>12</xdr:col>
      <xdr:colOff>409575</xdr:colOff>
      <xdr:row>34</xdr:row>
      <xdr:rowOff>85725</xdr:rowOff>
    </xdr:from>
    <xdr:to>
      <xdr:col>12</xdr:col>
      <xdr:colOff>409575</xdr:colOff>
      <xdr:row>36</xdr:row>
      <xdr:rowOff>142875</xdr:rowOff>
    </xdr:to>
    <xdr:sp macro="" textlink="">
      <xdr:nvSpPr>
        <xdr:cNvPr id="6242431" name="Line 227"/>
        <xdr:cNvSpPr>
          <a:spLocks noChangeShapeType="1"/>
        </xdr:cNvSpPr>
      </xdr:nvSpPr>
      <xdr:spPr bwMode="auto">
        <a:xfrm>
          <a:off x="8763000" y="5010150"/>
          <a:ext cx="0" cy="314325"/>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409575</xdr:colOff>
      <xdr:row>34</xdr:row>
      <xdr:rowOff>57150</xdr:rowOff>
    </xdr:from>
    <xdr:to>
      <xdr:col>13</xdr:col>
      <xdr:colOff>114300</xdr:colOff>
      <xdr:row>34</xdr:row>
      <xdr:rowOff>57150</xdr:rowOff>
    </xdr:to>
    <xdr:sp macro="" textlink="">
      <xdr:nvSpPr>
        <xdr:cNvPr id="6242432" name="Line 228"/>
        <xdr:cNvSpPr>
          <a:spLocks noChangeShapeType="1"/>
        </xdr:cNvSpPr>
      </xdr:nvSpPr>
      <xdr:spPr bwMode="auto">
        <a:xfrm>
          <a:off x="8763000" y="4981575"/>
          <a:ext cx="304800" cy="0"/>
        </a:xfrm>
        <a:prstGeom prst="line">
          <a:avLst/>
        </a:prstGeom>
        <a:noFill/>
        <a:ln w="1270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29</xdr:row>
      <xdr:rowOff>66675</xdr:rowOff>
    </xdr:from>
    <xdr:to>
      <xdr:col>12</xdr:col>
      <xdr:colOff>333375</xdr:colOff>
      <xdr:row>29</xdr:row>
      <xdr:rowOff>66675</xdr:rowOff>
    </xdr:to>
    <xdr:sp macro="" textlink="">
      <xdr:nvSpPr>
        <xdr:cNvPr id="6242433" name="Line 234"/>
        <xdr:cNvSpPr>
          <a:spLocks noChangeShapeType="1"/>
        </xdr:cNvSpPr>
      </xdr:nvSpPr>
      <xdr:spPr bwMode="auto">
        <a:xfrm flipV="1">
          <a:off x="8524875" y="4467225"/>
          <a:ext cx="161925" cy="0"/>
        </a:xfrm>
        <a:prstGeom prst="line">
          <a:avLst/>
        </a:prstGeom>
        <a:noFill/>
        <a:ln w="1270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27</xdr:row>
      <xdr:rowOff>28575</xdr:rowOff>
    </xdr:from>
    <xdr:to>
      <xdr:col>12</xdr:col>
      <xdr:colOff>171450</xdr:colOff>
      <xdr:row>29</xdr:row>
      <xdr:rowOff>66675</xdr:rowOff>
    </xdr:to>
    <xdr:sp macro="" textlink="">
      <xdr:nvSpPr>
        <xdr:cNvPr id="6242434" name="Line 235"/>
        <xdr:cNvSpPr>
          <a:spLocks noChangeShapeType="1"/>
        </xdr:cNvSpPr>
      </xdr:nvSpPr>
      <xdr:spPr bwMode="auto">
        <a:xfrm flipV="1">
          <a:off x="8524875" y="4210050"/>
          <a:ext cx="0" cy="257175"/>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446722</xdr:colOff>
      <xdr:row>21</xdr:row>
      <xdr:rowOff>19050</xdr:rowOff>
    </xdr:from>
    <xdr:to>
      <xdr:col>14</xdr:col>
      <xdr:colOff>104752</xdr:colOff>
      <xdr:row>22</xdr:row>
      <xdr:rowOff>545</xdr:rowOff>
    </xdr:to>
    <xdr:sp macro="" textlink="">
      <xdr:nvSpPr>
        <xdr:cNvPr id="9456" name="Text Box 240">
          <a:hlinkClick xmlns:r="http://schemas.openxmlformats.org/officeDocument/2006/relationships" r:id="rId18" tooltip="Defaults"/>
          <a:extLst>
            <a:ext uri="{FF2B5EF4-FFF2-40B4-BE49-F238E27FC236}">
              <a16:creationId xmlns="" xmlns:a16="http://schemas.microsoft.com/office/drawing/2014/main" id="{F84F0C7F-B12A-4E81-88D9-7BBBD98A98A1}"/>
            </a:ext>
          </a:extLst>
        </xdr:cNvPr>
        <xdr:cNvSpPr txBox="1">
          <a:spLocks noChangeArrowheads="1"/>
        </xdr:cNvSpPr>
      </xdr:nvSpPr>
      <xdr:spPr bwMode="auto">
        <a:xfrm>
          <a:off x="8848725" y="3067050"/>
          <a:ext cx="219075" cy="142875"/>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12</xdr:col>
      <xdr:colOff>408622</xdr:colOff>
      <xdr:row>21</xdr:row>
      <xdr:rowOff>19050</xdr:rowOff>
    </xdr:from>
    <xdr:to>
      <xdr:col>13</xdr:col>
      <xdr:colOff>411928</xdr:colOff>
      <xdr:row>22</xdr:row>
      <xdr:rowOff>19050</xdr:rowOff>
    </xdr:to>
    <xdr:sp macro="" textlink="">
      <xdr:nvSpPr>
        <xdr:cNvPr id="9457" name="Text Box 241">
          <a:extLst>
            <a:ext uri="{FF2B5EF4-FFF2-40B4-BE49-F238E27FC236}">
              <a16:creationId xmlns="" xmlns:a16="http://schemas.microsoft.com/office/drawing/2014/main" id="{19C803A2-97D0-4F5A-9FBE-CF21D8CF3944}"/>
            </a:ext>
          </a:extLst>
        </xdr:cNvPr>
        <xdr:cNvSpPr txBox="1">
          <a:spLocks noChangeArrowheads="1"/>
        </xdr:cNvSpPr>
      </xdr:nvSpPr>
      <xdr:spPr bwMode="auto">
        <a:xfrm>
          <a:off x="8210550" y="3067050"/>
          <a:ext cx="628650" cy="16192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Click here: </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12</xdr:col>
      <xdr:colOff>410527</xdr:colOff>
      <xdr:row>22</xdr:row>
      <xdr:rowOff>0</xdr:rowOff>
    </xdr:from>
    <xdr:to>
      <xdr:col>14</xdr:col>
      <xdr:colOff>399121</xdr:colOff>
      <xdr:row>23</xdr:row>
      <xdr:rowOff>152430</xdr:rowOff>
    </xdr:to>
    <xdr:sp macro="" textlink="">
      <xdr:nvSpPr>
        <xdr:cNvPr id="9459" name="Text Box 243">
          <a:extLst>
            <a:ext uri="{FF2B5EF4-FFF2-40B4-BE49-F238E27FC236}">
              <a16:creationId xmlns="" xmlns:a16="http://schemas.microsoft.com/office/drawing/2014/main" id="{1C4F8EF7-6160-47C1-A6A5-C71A7C55EDA9}"/>
            </a:ext>
          </a:extLst>
        </xdr:cNvPr>
        <xdr:cNvSpPr txBox="1">
          <a:spLocks noChangeArrowheads="1"/>
        </xdr:cNvSpPr>
      </xdr:nvSpPr>
      <xdr:spPr bwMode="auto">
        <a:xfrm>
          <a:off x="8220075" y="3209925"/>
          <a:ext cx="1190625" cy="3333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for help using option buttons below</a:t>
          </a:r>
        </a:p>
      </xdr:txBody>
    </xdr:sp>
    <xdr:clientData/>
  </xdr:twoCellAnchor>
  <xdr:twoCellAnchor>
    <xdr:from>
      <xdr:col>3</xdr:col>
      <xdr:colOff>265344</xdr:colOff>
      <xdr:row>51</xdr:row>
      <xdr:rowOff>37258</xdr:rowOff>
    </xdr:from>
    <xdr:to>
      <xdr:col>3</xdr:col>
      <xdr:colOff>494341</xdr:colOff>
      <xdr:row>51</xdr:row>
      <xdr:rowOff>189858</xdr:rowOff>
    </xdr:to>
    <xdr:sp macro="" textlink="">
      <xdr:nvSpPr>
        <xdr:cNvPr id="9704" name="Text Box 488">
          <a:hlinkClick xmlns:r="http://schemas.openxmlformats.org/officeDocument/2006/relationships" r:id="rId19"/>
          <a:extLst>
            <a:ext uri="{FF2B5EF4-FFF2-40B4-BE49-F238E27FC236}">
              <a16:creationId xmlns="" xmlns:a16="http://schemas.microsoft.com/office/drawing/2014/main" id="{A239CC2E-5177-4101-B867-FE6EB2737829}"/>
            </a:ext>
          </a:extLst>
        </xdr:cNvPr>
        <xdr:cNvSpPr txBox="1">
          <a:spLocks noChangeArrowheads="1"/>
        </xdr:cNvSpPr>
      </xdr:nvSpPr>
      <xdr:spPr bwMode="auto">
        <a:xfrm>
          <a:off x="4422950" y="6768352"/>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284998</xdr:colOff>
      <xdr:row>29</xdr:row>
      <xdr:rowOff>38100</xdr:rowOff>
    </xdr:from>
    <xdr:to>
      <xdr:col>3</xdr:col>
      <xdr:colOff>494913</xdr:colOff>
      <xdr:row>29</xdr:row>
      <xdr:rowOff>170282</xdr:rowOff>
    </xdr:to>
    <xdr:sp macro="" textlink="">
      <xdr:nvSpPr>
        <xdr:cNvPr id="9705" name="Text Box 489">
          <a:hlinkClick xmlns:r="http://schemas.openxmlformats.org/officeDocument/2006/relationships" r:id="rId20"/>
          <a:extLst>
            <a:ext uri="{FF2B5EF4-FFF2-40B4-BE49-F238E27FC236}">
              <a16:creationId xmlns="" xmlns:a16="http://schemas.microsoft.com/office/drawing/2014/main" id="{7091211A-A607-4D51-B5DF-265E883F6877}"/>
            </a:ext>
          </a:extLst>
        </xdr:cNvPr>
        <xdr:cNvSpPr txBox="1">
          <a:spLocks noChangeArrowheads="1"/>
        </xdr:cNvSpPr>
      </xdr:nvSpPr>
      <xdr:spPr bwMode="auto">
        <a:xfrm>
          <a:off x="4418792" y="4295775"/>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283833</xdr:colOff>
      <xdr:row>57</xdr:row>
      <xdr:rowOff>0</xdr:rowOff>
    </xdr:from>
    <xdr:to>
      <xdr:col>3</xdr:col>
      <xdr:colOff>493748</xdr:colOff>
      <xdr:row>57</xdr:row>
      <xdr:rowOff>152186</xdr:rowOff>
    </xdr:to>
    <xdr:sp macro="" textlink="">
      <xdr:nvSpPr>
        <xdr:cNvPr id="9706" name="Text Box 490">
          <a:hlinkClick xmlns:r="http://schemas.openxmlformats.org/officeDocument/2006/relationships" r:id="rId21"/>
          <a:extLst>
            <a:ext uri="{FF2B5EF4-FFF2-40B4-BE49-F238E27FC236}">
              <a16:creationId xmlns="" xmlns:a16="http://schemas.microsoft.com/office/drawing/2014/main" id="{6F918FA8-1A24-4E07-9114-546B5BF7D109}"/>
            </a:ext>
          </a:extLst>
        </xdr:cNvPr>
        <xdr:cNvSpPr txBox="1">
          <a:spLocks noChangeArrowheads="1"/>
        </xdr:cNvSpPr>
      </xdr:nvSpPr>
      <xdr:spPr bwMode="auto">
        <a:xfrm>
          <a:off x="4431914" y="749449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268201</xdr:colOff>
      <xdr:row>46</xdr:row>
      <xdr:rowOff>55414</xdr:rowOff>
    </xdr:from>
    <xdr:to>
      <xdr:col>3</xdr:col>
      <xdr:colOff>497198</xdr:colOff>
      <xdr:row>46</xdr:row>
      <xdr:rowOff>181874</xdr:rowOff>
    </xdr:to>
    <xdr:sp macro="" textlink="">
      <xdr:nvSpPr>
        <xdr:cNvPr id="9710" name="Text Box 494">
          <a:hlinkClick xmlns:r="http://schemas.openxmlformats.org/officeDocument/2006/relationships" r:id="rId22"/>
          <a:extLst>
            <a:ext uri="{FF2B5EF4-FFF2-40B4-BE49-F238E27FC236}">
              <a16:creationId xmlns="" xmlns:a16="http://schemas.microsoft.com/office/drawing/2014/main" id="{5AA03AF1-848F-4714-AFAC-B4E4A2BA91C8}"/>
            </a:ext>
          </a:extLst>
        </xdr:cNvPr>
        <xdr:cNvSpPr txBox="1">
          <a:spLocks noChangeArrowheads="1"/>
        </xdr:cNvSpPr>
      </xdr:nvSpPr>
      <xdr:spPr bwMode="auto">
        <a:xfrm>
          <a:off x="4421045" y="6232713"/>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mc:AlternateContent xmlns:mc="http://schemas.openxmlformats.org/markup-compatibility/2006">
    <mc:Choice xmlns:a14="http://schemas.microsoft.com/office/drawing/2010/main" Requires="a14">
      <xdr:twoCellAnchor>
        <xdr:from>
          <xdr:col>12</xdr:col>
          <xdr:colOff>9525</xdr:colOff>
          <xdr:row>37</xdr:row>
          <xdr:rowOff>0</xdr:rowOff>
        </xdr:from>
        <xdr:to>
          <xdr:col>12</xdr:col>
          <xdr:colOff>590550</xdr:colOff>
          <xdr:row>38</xdr:row>
          <xdr:rowOff>0</xdr:rowOff>
        </xdr:to>
        <xdr:grpSp>
          <xdr:nvGrpSpPr>
            <xdr:cNvPr id="6242442" name="Group 189"/>
            <xdr:cNvGrpSpPr>
              <a:grpSpLocks/>
            </xdr:cNvGrpSpPr>
          </xdr:nvGrpSpPr>
          <xdr:grpSpPr bwMode="auto">
            <a:xfrm>
              <a:off x="8362950" y="5343525"/>
              <a:ext cx="581025" cy="190500"/>
              <a:chOff x="1005" y="345"/>
              <a:chExt cx="64" cy="29"/>
            </a:xfrm>
          </xdr:grpSpPr>
          <xdr:sp macro="" textlink="">
            <xdr:nvSpPr>
              <xdr:cNvPr id="9399" name="Group Box 183" hidden="1">
                <a:extLst>
                  <a:ext uri="{63B3BB69-23CF-44E3-9099-C40C66FF867C}">
                    <a14:compatExt spid="_x0000_s9399"/>
                  </a:ext>
                </a:extLst>
              </xdr:cNvPr>
              <xdr:cNvSpPr/>
            </xdr:nvSpPr>
            <xdr:spPr bwMode="auto">
              <a:xfrm>
                <a:off x="1005" y="345"/>
                <a:ext cx="64" cy="29"/>
              </a:xfrm>
              <a:prstGeom prst="rect">
                <a:avLst/>
              </a:prstGeom>
              <a:noFill/>
              <a:ln w="12700">
                <a:miter lim="800000"/>
                <a:headEnd/>
                <a:tailEnd/>
              </a:ln>
              <a:extLst>
                <a:ext uri="{909E8E84-426E-40DD-AFC4-6F175D3DCCD1}">
                  <a14:hiddenFill>
                    <a:noFill/>
                  </a14:hiddenFill>
                </a:ext>
              </a:extLst>
            </xdr:spPr>
          </xdr:sp>
          <xdr:sp macro="" textlink="">
            <xdr:nvSpPr>
              <xdr:cNvPr id="9401" name="Option Button 185" hidden="1">
                <a:extLst>
                  <a:ext uri="{63B3BB69-23CF-44E3-9099-C40C66FF867C}">
                    <a14:compatExt spid="_x0000_s9401"/>
                  </a:ext>
                </a:extLst>
              </xdr:cNvPr>
              <xdr:cNvSpPr/>
            </xdr:nvSpPr>
            <xdr:spPr bwMode="auto">
              <a:xfrm>
                <a:off x="1010" y="349"/>
                <a:ext cx="32"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sp macro="" textlink="">
            <xdr:nvSpPr>
              <xdr:cNvPr id="9402" name="Option Button 186" hidden="1">
                <a:extLst>
                  <a:ext uri="{63B3BB69-23CF-44E3-9099-C40C66FF867C}">
                    <a14:compatExt spid="_x0000_s9402"/>
                  </a:ext>
                </a:extLst>
              </xdr:cNvPr>
              <xdr:cNvSpPr/>
            </xdr:nvSpPr>
            <xdr:spPr bwMode="auto">
              <a:xfrm>
                <a:off x="1037" y="349"/>
                <a:ext cx="32"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40</xdr:row>
          <xdr:rowOff>19050</xdr:rowOff>
        </xdr:from>
        <xdr:to>
          <xdr:col>13</xdr:col>
          <xdr:colOff>0</xdr:colOff>
          <xdr:row>41</xdr:row>
          <xdr:rowOff>180975</xdr:rowOff>
        </xdr:to>
        <xdr:grpSp>
          <xdr:nvGrpSpPr>
            <xdr:cNvPr id="6242443" name="Group 198"/>
            <xdr:cNvGrpSpPr>
              <a:grpSpLocks/>
            </xdr:cNvGrpSpPr>
          </xdr:nvGrpSpPr>
          <xdr:grpSpPr bwMode="auto">
            <a:xfrm>
              <a:off x="8353425" y="5772150"/>
              <a:ext cx="600075" cy="190500"/>
              <a:chOff x="762" y="543"/>
              <a:chExt cx="61" cy="29"/>
            </a:xfrm>
          </xdr:grpSpPr>
          <xdr:sp macro="" textlink="">
            <xdr:nvSpPr>
              <xdr:cNvPr id="9411" name="Group Box 195" hidden="1">
                <a:extLst>
                  <a:ext uri="{63B3BB69-23CF-44E3-9099-C40C66FF867C}">
                    <a14:compatExt spid="_x0000_s9411"/>
                  </a:ext>
                </a:extLst>
              </xdr:cNvPr>
              <xdr:cNvSpPr/>
            </xdr:nvSpPr>
            <xdr:spPr bwMode="auto">
              <a:xfrm>
                <a:off x="762" y="543"/>
                <a:ext cx="61" cy="29"/>
              </a:xfrm>
              <a:prstGeom prst="rect">
                <a:avLst/>
              </a:prstGeom>
              <a:noFill/>
              <a:ln w="12700">
                <a:miter lim="800000"/>
                <a:headEnd/>
                <a:tailEnd/>
              </a:ln>
              <a:extLst>
                <a:ext uri="{909E8E84-426E-40DD-AFC4-6F175D3DCCD1}">
                  <a14:hiddenFill>
                    <a:noFill/>
                  </a14:hiddenFill>
                </a:ext>
              </a:extLst>
            </xdr:spPr>
          </xdr:sp>
          <xdr:sp macro="" textlink="">
            <xdr:nvSpPr>
              <xdr:cNvPr id="9412" name="Option Button 196" hidden="1">
                <a:extLst>
                  <a:ext uri="{63B3BB69-23CF-44E3-9099-C40C66FF867C}">
                    <a14:compatExt spid="_x0000_s9412"/>
                  </a:ext>
                </a:extLst>
              </xdr:cNvPr>
              <xdr:cNvSpPr/>
            </xdr:nvSpPr>
            <xdr:spPr bwMode="auto">
              <a:xfrm>
                <a:off x="767" y="547"/>
                <a:ext cx="30"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sp macro="" textlink="">
            <xdr:nvSpPr>
              <xdr:cNvPr id="9413" name="Option Button 197" hidden="1">
                <a:extLst>
                  <a:ext uri="{63B3BB69-23CF-44E3-9099-C40C66FF867C}">
                    <a14:compatExt spid="_x0000_s9413"/>
                  </a:ext>
                </a:extLst>
              </xdr:cNvPr>
              <xdr:cNvSpPr/>
            </xdr:nvSpPr>
            <xdr:spPr bwMode="auto">
              <a:xfrm>
                <a:off x="793" y="547"/>
                <a:ext cx="30"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25</xdr:row>
          <xdr:rowOff>0</xdr:rowOff>
        </xdr:from>
        <xdr:to>
          <xdr:col>12</xdr:col>
          <xdr:colOff>590550</xdr:colOff>
          <xdr:row>26</xdr:row>
          <xdr:rowOff>0</xdr:rowOff>
        </xdr:to>
        <xdr:grpSp>
          <xdr:nvGrpSpPr>
            <xdr:cNvPr id="6242444" name="Group 203"/>
            <xdr:cNvGrpSpPr>
              <a:grpSpLocks noChangeAspect="1"/>
            </xdr:cNvGrpSpPr>
          </xdr:nvGrpSpPr>
          <xdr:grpSpPr bwMode="auto">
            <a:xfrm>
              <a:off x="8362950" y="3962400"/>
              <a:ext cx="581025" cy="190500"/>
              <a:chOff x="758" y="403"/>
              <a:chExt cx="61" cy="29"/>
            </a:xfrm>
          </xdr:grpSpPr>
          <xdr:sp macro="" textlink="">
            <xdr:nvSpPr>
              <xdr:cNvPr id="9416" name="Group Box 200" hidden="1">
                <a:extLst>
                  <a:ext uri="{63B3BB69-23CF-44E3-9099-C40C66FF867C}">
                    <a14:compatExt spid="_x0000_s9416"/>
                  </a:ext>
                </a:extLst>
              </xdr:cNvPr>
              <xdr:cNvSpPr/>
            </xdr:nvSpPr>
            <xdr:spPr bwMode="auto">
              <a:xfrm>
                <a:off x="758" y="403"/>
                <a:ext cx="61" cy="29"/>
              </a:xfrm>
              <a:prstGeom prst="rect">
                <a:avLst/>
              </a:prstGeom>
              <a:noFill/>
              <a:ln w="12700">
                <a:miter lim="800000"/>
                <a:headEnd/>
                <a:tailEnd/>
              </a:ln>
              <a:extLst>
                <a:ext uri="{909E8E84-426E-40DD-AFC4-6F175D3DCCD1}">
                  <a14:hiddenFill>
                    <a:noFill/>
                  </a14:hiddenFill>
                </a:ext>
              </a:extLst>
            </xdr:spPr>
          </xdr:sp>
          <xdr:sp macro="" textlink="">
            <xdr:nvSpPr>
              <xdr:cNvPr id="9417" name="Option Button 201" hidden="1">
                <a:extLst>
                  <a:ext uri="{63B3BB69-23CF-44E3-9099-C40C66FF867C}">
                    <a14:compatExt spid="_x0000_s9417"/>
                  </a:ext>
                </a:extLst>
              </xdr:cNvPr>
              <xdr:cNvSpPr/>
            </xdr:nvSpPr>
            <xdr:spPr bwMode="auto">
              <a:xfrm>
                <a:off x="763" y="407"/>
                <a:ext cx="30" cy="23"/>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sp macro="" textlink="">
            <xdr:nvSpPr>
              <xdr:cNvPr id="9418" name="Option Button 202" hidden="1">
                <a:extLst>
                  <a:ext uri="{63B3BB69-23CF-44E3-9099-C40C66FF867C}">
                    <a14:compatExt spid="_x0000_s9418"/>
                  </a:ext>
                </a:extLst>
              </xdr:cNvPr>
              <xdr:cNvSpPr/>
            </xdr:nvSpPr>
            <xdr:spPr bwMode="auto">
              <a:xfrm>
                <a:off x="789" y="407"/>
                <a:ext cx="30" cy="23"/>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14</xdr:row>
          <xdr:rowOff>0</xdr:rowOff>
        </xdr:from>
        <xdr:to>
          <xdr:col>12</xdr:col>
          <xdr:colOff>590550</xdr:colOff>
          <xdr:row>15</xdr:row>
          <xdr:rowOff>0</xdr:rowOff>
        </xdr:to>
        <xdr:sp macro="" textlink="">
          <xdr:nvSpPr>
            <xdr:cNvPr id="10118" name="Group Box 902" hidden="1">
              <a:extLst>
                <a:ext uri="{63B3BB69-23CF-44E3-9099-C40C66FF867C}">
                  <a14:compatExt spid="_x0000_s10118"/>
                </a:ext>
              </a:extLst>
            </xdr:cNvPr>
            <xdr:cNvSpPr/>
          </xdr:nvSpPr>
          <xdr:spPr bwMode="auto">
            <a:xfrm>
              <a:off x="0" y="0"/>
              <a:ext cx="0" cy="0"/>
            </a:xfrm>
            <a:prstGeom prst="rect">
              <a:avLst/>
            </a:prstGeom>
            <a:noFill/>
            <a:ln w="12700">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14</xdr:row>
          <xdr:rowOff>19050</xdr:rowOff>
        </xdr:from>
        <xdr:to>
          <xdr:col>12</xdr:col>
          <xdr:colOff>333375</xdr:colOff>
          <xdr:row>14</xdr:row>
          <xdr:rowOff>152400</xdr:rowOff>
        </xdr:to>
        <xdr:sp macro="" textlink="">
          <xdr:nvSpPr>
            <xdr:cNvPr id="10119" name="Option Button 903" hidden="1">
              <a:extLst>
                <a:ext uri="{63B3BB69-23CF-44E3-9099-C40C66FF867C}">
                  <a14:compatExt spid="_x0000_s10119"/>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304800</xdr:colOff>
          <xdr:row>14</xdr:row>
          <xdr:rowOff>19050</xdr:rowOff>
        </xdr:from>
        <xdr:to>
          <xdr:col>12</xdr:col>
          <xdr:colOff>590550</xdr:colOff>
          <xdr:row>14</xdr:row>
          <xdr:rowOff>152400</xdr:rowOff>
        </xdr:to>
        <xdr:sp macro="" textlink="">
          <xdr:nvSpPr>
            <xdr:cNvPr id="10120" name="Option Button 904" hidden="1">
              <a:extLst>
                <a:ext uri="{63B3BB69-23CF-44E3-9099-C40C66FF867C}">
                  <a14:compatExt spid="_x0000_s10120"/>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15</xdr:row>
          <xdr:rowOff>0</xdr:rowOff>
        </xdr:from>
        <xdr:to>
          <xdr:col>12</xdr:col>
          <xdr:colOff>590550</xdr:colOff>
          <xdr:row>16</xdr:row>
          <xdr:rowOff>0</xdr:rowOff>
        </xdr:to>
        <xdr:sp macro="" textlink="">
          <xdr:nvSpPr>
            <xdr:cNvPr id="10122" name="Group Box 906" hidden="1">
              <a:extLst>
                <a:ext uri="{63B3BB69-23CF-44E3-9099-C40C66FF867C}">
                  <a14:compatExt spid="_x0000_s10122"/>
                </a:ext>
              </a:extLst>
            </xdr:cNvPr>
            <xdr:cNvSpPr/>
          </xdr:nvSpPr>
          <xdr:spPr bwMode="auto">
            <a:xfrm>
              <a:off x="0" y="0"/>
              <a:ext cx="0" cy="0"/>
            </a:xfrm>
            <a:prstGeom prst="rect">
              <a:avLst/>
            </a:prstGeom>
            <a:noFill/>
            <a:ln w="12700">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15</xdr:row>
          <xdr:rowOff>19050</xdr:rowOff>
        </xdr:from>
        <xdr:to>
          <xdr:col>12</xdr:col>
          <xdr:colOff>333375</xdr:colOff>
          <xdr:row>15</xdr:row>
          <xdr:rowOff>152400</xdr:rowOff>
        </xdr:to>
        <xdr:sp macro="" textlink="">
          <xdr:nvSpPr>
            <xdr:cNvPr id="10123" name="Option Button 907" hidden="1">
              <a:extLst>
                <a:ext uri="{63B3BB69-23CF-44E3-9099-C40C66FF867C}">
                  <a14:compatExt spid="_x0000_s10123"/>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304800</xdr:colOff>
          <xdr:row>15</xdr:row>
          <xdr:rowOff>19050</xdr:rowOff>
        </xdr:from>
        <xdr:to>
          <xdr:col>12</xdr:col>
          <xdr:colOff>590550</xdr:colOff>
          <xdr:row>15</xdr:row>
          <xdr:rowOff>152400</xdr:rowOff>
        </xdr:to>
        <xdr:sp macro="" textlink="">
          <xdr:nvSpPr>
            <xdr:cNvPr id="10124" name="Option Button 908" hidden="1">
              <a:extLst>
                <a:ext uri="{63B3BB69-23CF-44E3-9099-C40C66FF867C}">
                  <a14:compatExt spid="_x0000_s10124"/>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16</xdr:row>
          <xdr:rowOff>0</xdr:rowOff>
        </xdr:from>
        <xdr:to>
          <xdr:col>12</xdr:col>
          <xdr:colOff>590550</xdr:colOff>
          <xdr:row>17</xdr:row>
          <xdr:rowOff>0</xdr:rowOff>
        </xdr:to>
        <xdr:sp macro="" textlink="">
          <xdr:nvSpPr>
            <xdr:cNvPr id="10126" name="Group Box 910" hidden="1">
              <a:extLst>
                <a:ext uri="{63B3BB69-23CF-44E3-9099-C40C66FF867C}">
                  <a14:compatExt spid="_x0000_s10126"/>
                </a:ext>
              </a:extLst>
            </xdr:cNvPr>
            <xdr:cNvSpPr/>
          </xdr:nvSpPr>
          <xdr:spPr bwMode="auto">
            <a:xfrm>
              <a:off x="0" y="0"/>
              <a:ext cx="0" cy="0"/>
            </a:xfrm>
            <a:prstGeom prst="rect">
              <a:avLst/>
            </a:prstGeom>
            <a:noFill/>
            <a:ln w="12700">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16</xdr:row>
          <xdr:rowOff>19050</xdr:rowOff>
        </xdr:from>
        <xdr:to>
          <xdr:col>12</xdr:col>
          <xdr:colOff>333375</xdr:colOff>
          <xdr:row>16</xdr:row>
          <xdr:rowOff>152400</xdr:rowOff>
        </xdr:to>
        <xdr:sp macro="" textlink="">
          <xdr:nvSpPr>
            <xdr:cNvPr id="10127" name="Option Button 911" hidden="1">
              <a:extLst>
                <a:ext uri="{63B3BB69-23CF-44E3-9099-C40C66FF867C}">
                  <a14:compatExt spid="_x0000_s10127"/>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304800</xdr:colOff>
          <xdr:row>16</xdr:row>
          <xdr:rowOff>19050</xdr:rowOff>
        </xdr:from>
        <xdr:to>
          <xdr:col>12</xdr:col>
          <xdr:colOff>590550</xdr:colOff>
          <xdr:row>16</xdr:row>
          <xdr:rowOff>152400</xdr:rowOff>
        </xdr:to>
        <xdr:sp macro="" textlink="">
          <xdr:nvSpPr>
            <xdr:cNvPr id="10128" name="Option Button 912" hidden="1">
              <a:extLst>
                <a:ext uri="{63B3BB69-23CF-44E3-9099-C40C66FF867C}">
                  <a14:compatExt spid="_x0000_s10128"/>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xdr:twoCellAnchor>
    <xdr:from>
      <xdr:col>3</xdr:col>
      <xdr:colOff>17145</xdr:colOff>
      <xdr:row>14</xdr:row>
      <xdr:rowOff>20955</xdr:rowOff>
    </xdr:from>
    <xdr:to>
      <xdr:col>3</xdr:col>
      <xdr:colOff>249408</xdr:colOff>
      <xdr:row>15</xdr:row>
      <xdr:rowOff>17411</xdr:rowOff>
    </xdr:to>
    <xdr:sp macro="" textlink="">
      <xdr:nvSpPr>
        <xdr:cNvPr id="63" name="Text Box 5">
          <a:hlinkClick xmlns:r="http://schemas.openxmlformats.org/officeDocument/2006/relationships" r:id="rId23"/>
          <a:extLst>
            <a:ext uri="{FF2B5EF4-FFF2-40B4-BE49-F238E27FC236}">
              <a16:creationId xmlns="" xmlns:a16="http://schemas.microsoft.com/office/drawing/2014/main" id="{96835379-0F39-4598-9F25-034E32C81E03}"/>
            </a:ext>
          </a:extLst>
        </xdr:cNvPr>
        <xdr:cNvSpPr txBox="1">
          <a:spLocks noChangeArrowheads="1"/>
        </xdr:cNvSpPr>
      </xdr:nvSpPr>
      <xdr:spPr bwMode="auto">
        <a:xfrm>
          <a:off x="4163321" y="218088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84772</xdr:colOff>
      <xdr:row>4</xdr:row>
      <xdr:rowOff>17145</xdr:rowOff>
    </xdr:from>
    <xdr:to>
      <xdr:col>2</xdr:col>
      <xdr:colOff>297196</xdr:colOff>
      <xdr:row>4</xdr:row>
      <xdr:rowOff>153551</xdr:rowOff>
    </xdr:to>
    <xdr:sp macro="" textlink="">
      <xdr:nvSpPr>
        <xdr:cNvPr id="64" name="Text Box 5">
          <a:extLst>
            <a:ext uri="{FF2B5EF4-FFF2-40B4-BE49-F238E27FC236}">
              <a16:creationId xmlns="" xmlns:a16="http://schemas.microsoft.com/office/drawing/2014/main" id="{E8352FA9-47EA-4F62-988A-C62E5D680017}"/>
            </a:ext>
          </a:extLst>
        </xdr:cNvPr>
        <xdr:cNvSpPr txBox="1">
          <a:spLocks noChangeArrowheads="1"/>
        </xdr:cNvSpPr>
      </xdr:nvSpPr>
      <xdr:spPr bwMode="auto">
        <a:xfrm>
          <a:off x="266700" y="830580"/>
          <a:ext cx="226629" cy="150813"/>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372427</xdr:colOff>
      <xdr:row>4</xdr:row>
      <xdr:rowOff>0</xdr:rowOff>
    </xdr:from>
    <xdr:to>
      <xdr:col>2</xdr:col>
      <xdr:colOff>1744027</xdr:colOff>
      <xdr:row>5</xdr:row>
      <xdr:rowOff>0</xdr:rowOff>
    </xdr:to>
    <xdr:sp macro="" textlink="">
      <xdr:nvSpPr>
        <xdr:cNvPr id="65" name="Text Box 8">
          <a:extLst>
            <a:ext uri="{FF2B5EF4-FFF2-40B4-BE49-F238E27FC236}">
              <a16:creationId xmlns="" xmlns:a16="http://schemas.microsoft.com/office/drawing/2014/main" id="{0440685B-FAAE-4427-AE5A-E726708DF20A}"/>
            </a:ext>
          </a:extLst>
        </xdr:cNvPr>
        <xdr:cNvSpPr txBox="1">
          <a:spLocks noChangeArrowheads="1"/>
        </xdr:cNvSpPr>
      </xdr:nvSpPr>
      <xdr:spPr bwMode="auto">
        <a:xfrm>
          <a:off x="544830" y="822960"/>
          <a:ext cx="1409700" cy="167640"/>
        </a:xfrm>
        <a:prstGeom prst="rect">
          <a:avLst/>
        </a:prstGeom>
        <a:no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Click to add a comment</a:t>
          </a:r>
        </a:p>
      </xdr:txBody>
    </xdr:sp>
    <xdr:clientData/>
  </xdr:twoCellAnchor>
  <xdr:twoCellAnchor>
    <xdr:from>
      <xdr:col>14</xdr:col>
      <xdr:colOff>141922</xdr:colOff>
      <xdr:row>1</xdr:row>
      <xdr:rowOff>55245</xdr:rowOff>
    </xdr:from>
    <xdr:to>
      <xdr:col>15</xdr:col>
      <xdr:colOff>335452</xdr:colOff>
      <xdr:row>1</xdr:row>
      <xdr:rowOff>266456</xdr:rowOff>
    </xdr:to>
    <xdr:sp macro="" textlink="">
      <xdr:nvSpPr>
        <xdr:cNvPr id="70" name="Text Box 706">
          <a:extLst>
            <a:ext uri="{FF2B5EF4-FFF2-40B4-BE49-F238E27FC236}">
              <a16:creationId xmlns="" xmlns:a16="http://schemas.microsoft.com/office/drawing/2014/main" id="{CD3C521C-4B9F-4E54-92C7-C0C86A1F60EB}"/>
            </a:ext>
          </a:extLst>
        </xdr:cNvPr>
        <xdr:cNvSpPr txBox="1">
          <a:spLocks noChangeArrowheads="1"/>
        </xdr:cNvSpPr>
      </xdr:nvSpPr>
      <xdr:spPr bwMode="auto">
        <a:xfrm>
          <a:off x="988314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xdr:col>
      <xdr:colOff>66675</xdr:colOff>
      <xdr:row>1</xdr:row>
      <xdr:rowOff>57150</xdr:rowOff>
    </xdr:from>
    <xdr:to>
      <xdr:col>2</xdr:col>
      <xdr:colOff>342900</xdr:colOff>
      <xdr:row>1</xdr:row>
      <xdr:rowOff>476250</xdr:rowOff>
    </xdr:to>
    <xdr:pic>
      <xdr:nvPicPr>
        <xdr:cNvPr id="6242449" name="Picture 71">
          <a:hlinkClick xmlns:r="http://schemas.openxmlformats.org/officeDocument/2006/relationships" r:id="rId24"/>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42875" y="142875"/>
          <a:ext cx="400050" cy="41910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20002</xdr:colOff>
      <xdr:row>16</xdr:row>
      <xdr:rowOff>35948</xdr:rowOff>
    </xdr:from>
    <xdr:to>
      <xdr:col>3</xdr:col>
      <xdr:colOff>230210</xdr:colOff>
      <xdr:row>17</xdr:row>
      <xdr:rowOff>18803</xdr:rowOff>
    </xdr:to>
    <xdr:sp macro="" textlink="">
      <xdr:nvSpPr>
        <xdr:cNvPr id="66" name="Text Box 5">
          <a:hlinkClick xmlns:r="http://schemas.openxmlformats.org/officeDocument/2006/relationships" r:id="rId26"/>
          <a:extLst>
            <a:ext uri="{FF2B5EF4-FFF2-40B4-BE49-F238E27FC236}">
              <a16:creationId xmlns="" xmlns:a16="http://schemas.microsoft.com/office/drawing/2014/main" id="{23CA3755-2A3C-44AA-9B79-52806444C9ED}"/>
            </a:ext>
          </a:extLst>
        </xdr:cNvPr>
        <xdr:cNvSpPr txBox="1">
          <a:spLocks noChangeArrowheads="1"/>
        </xdr:cNvSpPr>
      </xdr:nvSpPr>
      <xdr:spPr bwMode="auto">
        <a:xfrm>
          <a:off x="4161416" y="252090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20002</xdr:colOff>
      <xdr:row>15</xdr:row>
      <xdr:rowOff>37076</xdr:rowOff>
    </xdr:from>
    <xdr:to>
      <xdr:col>3</xdr:col>
      <xdr:colOff>230210</xdr:colOff>
      <xdr:row>15</xdr:row>
      <xdr:rowOff>154152</xdr:rowOff>
    </xdr:to>
    <xdr:sp macro="" textlink="">
      <xdr:nvSpPr>
        <xdr:cNvPr id="67" name="Text Box 5">
          <a:hlinkClick xmlns:r="http://schemas.openxmlformats.org/officeDocument/2006/relationships" r:id="rId27"/>
          <a:extLst>
            <a:ext uri="{FF2B5EF4-FFF2-40B4-BE49-F238E27FC236}">
              <a16:creationId xmlns="" xmlns:a16="http://schemas.microsoft.com/office/drawing/2014/main" id="{F5AD30A6-AF21-42B5-A974-7E219AAF9875}"/>
            </a:ext>
          </a:extLst>
        </xdr:cNvPr>
        <xdr:cNvSpPr txBox="1">
          <a:spLocks noChangeArrowheads="1"/>
        </xdr:cNvSpPr>
      </xdr:nvSpPr>
      <xdr:spPr bwMode="auto">
        <a:xfrm>
          <a:off x="4161416" y="234857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20002</xdr:colOff>
      <xdr:row>22</xdr:row>
      <xdr:rowOff>0</xdr:rowOff>
    </xdr:from>
    <xdr:to>
      <xdr:col>3</xdr:col>
      <xdr:colOff>230210</xdr:colOff>
      <xdr:row>22</xdr:row>
      <xdr:rowOff>152186</xdr:rowOff>
    </xdr:to>
    <xdr:sp macro="" textlink="">
      <xdr:nvSpPr>
        <xdr:cNvPr id="68" name="Text Box 2">
          <a:hlinkClick xmlns:r="http://schemas.openxmlformats.org/officeDocument/2006/relationships" r:id="rId28"/>
          <a:extLst>
            <a:ext uri="{FF2B5EF4-FFF2-40B4-BE49-F238E27FC236}">
              <a16:creationId xmlns="" xmlns:a16="http://schemas.microsoft.com/office/drawing/2014/main" id="{285F16C1-1068-46D5-9C9F-FE6372815333}"/>
            </a:ext>
          </a:extLst>
        </xdr:cNvPr>
        <xdr:cNvSpPr txBox="1">
          <a:spLocks noChangeArrowheads="1"/>
        </xdr:cNvSpPr>
      </xdr:nvSpPr>
      <xdr:spPr bwMode="auto">
        <a:xfrm>
          <a:off x="4161416" y="3339353"/>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20002</xdr:colOff>
      <xdr:row>23</xdr:row>
      <xdr:rowOff>18097</xdr:rowOff>
    </xdr:from>
    <xdr:to>
      <xdr:col>3</xdr:col>
      <xdr:colOff>230079</xdr:colOff>
      <xdr:row>23</xdr:row>
      <xdr:rowOff>160479</xdr:rowOff>
    </xdr:to>
    <xdr:sp macro="" textlink="">
      <xdr:nvSpPr>
        <xdr:cNvPr id="71" name="Text Box 3">
          <a:hlinkClick xmlns:r="http://schemas.openxmlformats.org/officeDocument/2006/relationships" r:id="rId29"/>
          <a:extLst>
            <a:ext uri="{FF2B5EF4-FFF2-40B4-BE49-F238E27FC236}">
              <a16:creationId xmlns="" xmlns:a16="http://schemas.microsoft.com/office/drawing/2014/main" id="{79244285-B311-4119-8D52-6C7993F6627F}"/>
            </a:ext>
          </a:extLst>
        </xdr:cNvPr>
        <xdr:cNvSpPr txBox="1">
          <a:spLocks noChangeArrowheads="1"/>
        </xdr:cNvSpPr>
      </xdr:nvSpPr>
      <xdr:spPr bwMode="auto">
        <a:xfrm>
          <a:off x="4161416" y="3505088"/>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20002</xdr:colOff>
      <xdr:row>25</xdr:row>
      <xdr:rowOff>17145</xdr:rowOff>
    </xdr:from>
    <xdr:to>
      <xdr:col>3</xdr:col>
      <xdr:colOff>230210</xdr:colOff>
      <xdr:row>26</xdr:row>
      <xdr:rowOff>381</xdr:rowOff>
    </xdr:to>
    <xdr:sp macro="" textlink="">
      <xdr:nvSpPr>
        <xdr:cNvPr id="72" name="Text Box 4">
          <a:hlinkClick xmlns:r="http://schemas.openxmlformats.org/officeDocument/2006/relationships" r:id="rId30"/>
          <a:extLst>
            <a:ext uri="{FF2B5EF4-FFF2-40B4-BE49-F238E27FC236}">
              <a16:creationId xmlns="" xmlns:a16="http://schemas.microsoft.com/office/drawing/2014/main" id="{0C269C5E-1ECE-4D3B-A5C7-A622C564D8C1}"/>
            </a:ext>
          </a:extLst>
        </xdr:cNvPr>
        <xdr:cNvSpPr txBox="1">
          <a:spLocks noChangeArrowheads="1"/>
        </xdr:cNvSpPr>
      </xdr:nvSpPr>
      <xdr:spPr bwMode="auto">
        <a:xfrm>
          <a:off x="4161416" y="385403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20002</xdr:colOff>
      <xdr:row>24</xdr:row>
      <xdr:rowOff>17145</xdr:rowOff>
    </xdr:from>
    <xdr:to>
      <xdr:col>3</xdr:col>
      <xdr:colOff>230210</xdr:colOff>
      <xdr:row>24</xdr:row>
      <xdr:rowOff>153695</xdr:rowOff>
    </xdr:to>
    <xdr:sp macro="" textlink="">
      <xdr:nvSpPr>
        <xdr:cNvPr id="73" name="Text Box 6">
          <a:hlinkClick xmlns:r="http://schemas.openxmlformats.org/officeDocument/2006/relationships" r:id="rId31"/>
          <a:extLst>
            <a:ext uri="{FF2B5EF4-FFF2-40B4-BE49-F238E27FC236}">
              <a16:creationId xmlns="" xmlns:a16="http://schemas.microsoft.com/office/drawing/2014/main" id="{B8448A99-7546-470A-A91B-F4D6FEDBB544}"/>
            </a:ext>
          </a:extLst>
        </xdr:cNvPr>
        <xdr:cNvSpPr txBox="1">
          <a:spLocks noChangeArrowheads="1"/>
        </xdr:cNvSpPr>
      </xdr:nvSpPr>
      <xdr:spPr bwMode="auto">
        <a:xfrm>
          <a:off x="4161416" y="3678667"/>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12</xdr:col>
      <xdr:colOff>68580</xdr:colOff>
      <xdr:row>1</xdr:row>
      <xdr:rowOff>230505</xdr:rowOff>
    </xdr:from>
    <xdr:to>
      <xdr:col>16</xdr:col>
      <xdr:colOff>2</xdr:colOff>
      <xdr:row>1</xdr:row>
      <xdr:rowOff>513576</xdr:rowOff>
    </xdr:to>
    <xdr:sp macro="" textlink="">
      <xdr:nvSpPr>
        <xdr:cNvPr id="75" name="Text Box 474">
          <a:extLst>
            <a:ext uri="{FF2B5EF4-FFF2-40B4-BE49-F238E27FC236}">
              <a16:creationId xmlns="" xmlns:a16="http://schemas.microsoft.com/office/drawing/2014/main" id="{3363C424-A27E-4510-8BD8-B9C91B4F08A6}"/>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8</xdr:col>
      <xdr:colOff>1267777</xdr:colOff>
      <xdr:row>14</xdr:row>
      <xdr:rowOff>20002</xdr:rowOff>
    </xdr:from>
    <xdr:to>
      <xdr:col>8</xdr:col>
      <xdr:colOff>1477687</xdr:colOff>
      <xdr:row>15</xdr:row>
      <xdr:rowOff>2028</xdr:rowOff>
    </xdr:to>
    <xdr:sp macro="" textlink="">
      <xdr:nvSpPr>
        <xdr:cNvPr id="77" name="Text Box 5">
          <a:hlinkClick xmlns:r="http://schemas.openxmlformats.org/officeDocument/2006/relationships" r:id="rId32"/>
          <a:extLst>
            <a:ext uri="{FF2B5EF4-FFF2-40B4-BE49-F238E27FC236}">
              <a16:creationId xmlns="" xmlns:a16="http://schemas.microsoft.com/office/drawing/2014/main" id="{B92BCAB3-C754-4CEC-AEC8-2D41CE5C8F6A}"/>
            </a:ext>
          </a:extLst>
        </xdr:cNvPr>
        <xdr:cNvSpPr txBox="1">
          <a:spLocks noChangeArrowheads="1"/>
        </xdr:cNvSpPr>
      </xdr:nvSpPr>
      <xdr:spPr bwMode="auto">
        <a:xfrm>
          <a:off x="7515225" y="218694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1267777</xdr:colOff>
      <xdr:row>15</xdr:row>
      <xdr:rowOff>18062</xdr:rowOff>
    </xdr:from>
    <xdr:to>
      <xdr:col>8</xdr:col>
      <xdr:colOff>1477687</xdr:colOff>
      <xdr:row>16</xdr:row>
      <xdr:rowOff>17240</xdr:rowOff>
    </xdr:to>
    <xdr:sp macro="" textlink="">
      <xdr:nvSpPr>
        <xdr:cNvPr id="78" name="Text Box 95">
          <a:hlinkClick xmlns:r="http://schemas.openxmlformats.org/officeDocument/2006/relationships" r:id="rId33"/>
          <a:extLst>
            <a:ext uri="{FF2B5EF4-FFF2-40B4-BE49-F238E27FC236}">
              <a16:creationId xmlns="" xmlns:a16="http://schemas.microsoft.com/office/drawing/2014/main" id="{AC06C724-B543-41FA-8509-D0A2A37673B5}"/>
            </a:ext>
          </a:extLst>
        </xdr:cNvPr>
        <xdr:cNvSpPr txBox="1">
          <a:spLocks noChangeArrowheads="1"/>
        </xdr:cNvSpPr>
      </xdr:nvSpPr>
      <xdr:spPr bwMode="auto">
        <a:xfrm>
          <a:off x="7515225" y="2357402"/>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1267777</xdr:colOff>
      <xdr:row>16</xdr:row>
      <xdr:rowOff>20002</xdr:rowOff>
    </xdr:from>
    <xdr:to>
      <xdr:col>8</xdr:col>
      <xdr:colOff>1458104</xdr:colOff>
      <xdr:row>16</xdr:row>
      <xdr:rowOff>159618</xdr:rowOff>
    </xdr:to>
    <xdr:sp macro="" textlink="">
      <xdr:nvSpPr>
        <xdr:cNvPr id="79" name="Text Box 96">
          <a:hlinkClick xmlns:r="http://schemas.openxmlformats.org/officeDocument/2006/relationships" r:id="rId34"/>
          <a:extLst>
            <a:ext uri="{FF2B5EF4-FFF2-40B4-BE49-F238E27FC236}">
              <a16:creationId xmlns="" xmlns:a16="http://schemas.microsoft.com/office/drawing/2014/main" id="{A56EEDEA-9884-4CC8-85EA-3C6BC9970129}"/>
            </a:ext>
          </a:extLst>
        </xdr:cNvPr>
        <xdr:cNvSpPr txBox="1">
          <a:spLocks noChangeArrowheads="1"/>
        </xdr:cNvSpPr>
      </xdr:nvSpPr>
      <xdr:spPr bwMode="auto">
        <a:xfrm>
          <a:off x="7515225" y="252984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1018222</xdr:colOff>
      <xdr:row>14</xdr:row>
      <xdr:rowOff>20002</xdr:rowOff>
    </xdr:from>
    <xdr:to>
      <xdr:col>8</xdr:col>
      <xdr:colOff>1230613</xdr:colOff>
      <xdr:row>15</xdr:row>
      <xdr:rowOff>2028</xdr:rowOff>
    </xdr:to>
    <xdr:sp macro="" textlink="">
      <xdr:nvSpPr>
        <xdr:cNvPr id="80" name="Text Box 5">
          <a:hlinkClick xmlns:r="http://schemas.openxmlformats.org/officeDocument/2006/relationships" r:id="rId35"/>
          <a:extLst>
            <a:ext uri="{FF2B5EF4-FFF2-40B4-BE49-F238E27FC236}">
              <a16:creationId xmlns="" xmlns:a16="http://schemas.microsoft.com/office/drawing/2014/main" id="{22861430-47B2-4A73-A7F6-98E29A6E1F05}"/>
            </a:ext>
          </a:extLst>
        </xdr:cNvPr>
        <xdr:cNvSpPr txBox="1">
          <a:spLocks noChangeArrowheads="1"/>
        </xdr:cNvSpPr>
      </xdr:nvSpPr>
      <xdr:spPr bwMode="auto">
        <a:xfrm>
          <a:off x="7256145" y="218694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1002030</xdr:colOff>
      <xdr:row>16</xdr:row>
      <xdr:rowOff>20708</xdr:rowOff>
    </xdr:from>
    <xdr:to>
      <xdr:col>8</xdr:col>
      <xdr:colOff>1229053</xdr:colOff>
      <xdr:row>16</xdr:row>
      <xdr:rowOff>160317</xdr:rowOff>
    </xdr:to>
    <xdr:sp macro="" textlink="">
      <xdr:nvSpPr>
        <xdr:cNvPr id="81" name="Text Box 5">
          <a:hlinkClick xmlns:r="http://schemas.openxmlformats.org/officeDocument/2006/relationships" r:id="rId36"/>
          <a:extLst>
            <a:ext uri="{FF2B5EF4-FFF2-40B4-BE49-F238E27FC236}">
              <a16:creationId xmlns="" xmlns:a16="http://schemas.microsoft.com/office/drawing/2014/main" id="{89C9C929-55B0-4780-85DC-0618CC80E7D2}"/>
            </a:ext>
          </a:extLst>
        </xdr:cNvPr>
        <xdr:cNvSpPr txBox="1">
          <a:spLocks noChangeArrowheads="1"/>
        </xdr:cNvSpPr>
      </xdr:nvSpPr>
      <xdr:spPr bwMode="auto">
        <a:xfrm>
          <a:off x="7254240" y="2530546"/>
          <a:ext cx="219456" cy="146297"/>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1002030</xdr:colOff>
      <xdr:row>15</xdr:row>
      <xdr:rowOff>17074</xdr:rowOff>
    </xdr:from>
    <xdr:to>
      <xdr:col>8</xdr:col>
      <xdr:colOff>1229053</xdr:colOff>
      <xdr:row>16</xdr:row>
      <xdr:rowOff>1439</xdr:rowOff>
    </xdr:to>
    <xdr:sp macro="" textlink="">
      <xdr:nvSpPr>
        <xdr:cNvPr id="82" name="Text Box 5">
          <a:hlinkClick xmlns:r="http://schemas.openxmlformats.org/officeDocument/2006/relationships" r:id="rId37"/>
          <a:extLst>
            <a:ext uri="{FF2B5EF4-FFF2-40B4-BE49-F238E27FC236}">
              <a16:creationId xmlns="" xmlns:a16="http://schemas.microsoft.com/office/drawing/2014/main" id="{19EA47FE-7930-4061-959E-DB5CBFBDDC7D}"/>
            </a:ext>
          </a:extLst>
        </xdr:cNvPr>
        <xdr:cNvSpPr txBox="1">
          <a:spLocks noChangeArrowheads="1"/>
        </xdr:cNvSpPr>
      </xdr:nvSpPr>
      <xdr:spPr bwMode="auto">
        <a:xfrm>
          <a:off x="7254240" y="235641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17022</xdr:colOff>
      <xdr:row>37</xdr:row>
      <xdr:rowOff>38491</xdr:rowOff>
    </xdr:from>
    <xdr:to>
      <xdr:col>3</xdr:col>
      <xdr:colOff>249285</xdr:colOff>
      <xdr:row>37</xdr:row>
      <xdr:rowOff>152263</xdr:rowOff>
    </xdr:to>
    <xdr:sp macro="" textlink="">
      <xdr:nvSpPr>
        <xdr:cNvPr id="92" name="Text Box 4">
          <a:hlinkClick xmlns:r="http://schemas.openxmlformats.org/officeDocument/2006/relationships" r:id="rId38"/>
          <a:extLst>
            <a:ext uri="{FF2B5EF4-FFF2-40B4-BE49-F238E27FC236}">
              <a16:creationId xmlns="" xmlns:a16="http://schemas.microsoft.com/office/drawing/2014/main" id="{9B887575-331E-476F-AB76-D9667A7119AA}"/>
            </a:ext>
          </a:extLst>
        </xdr:cNvPr>
        <xdr:cNvSpPr txBox="1">
          <a:spLocks noChangeArrowheads="1"/>
        </xdr:cNvSpPr>
      </xdr:nvSpPr>
      <xdr:spPr bwMode="auto">
        <a:xfrm>
          <a:off x="4163198" y="523718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17022</xdr:colOff>
      <xdr:row>41</xdr:row>
      <xdr:rowOff>37147</xdr:rowOff>
    </xdr:from>
    <xdr:to>
      <xdr:col>3</xdr:col>
      <xdr:colOff>249285</xdr:colOff>
      <xdr:row>41</xdr:row>
      <xdr:rowOff>172878</xdr:rowOff>
    </xdr:to>
    <xdr:sp macro="" textlink="">
      <xdr:nvSpPr>
        <xdr:cNvPr id="93" name="Text Box 4">
          <a:hlinkClick xmlns:r="http://schemas.openxmlformats.org/officeDocument/2006/relationships" r:id="rId39"/>
          <a:extLst>
            <a:ext uri="{FF2B5EF4-FFF2-40B4-BE49-F238E27FC236}">
              <a16:creationId xmlns="" xmlns:a16="http://schemas.microsoft.com/office/drawing/2014/main" id="{7F7256EC-371F-48C3-9A74-BF7B10A7A36F}"/>
            </a:ext>
          </a:extLst>
        </xdr:cNvPr>
        <xdr:cNvSpPr txBox="1">
          <a:spLocks noChangeArrowheads="1"/>
        </xdr:cNvSpPr>
      </xdr:nvSpPr>
      <xdr:spPr bwMode="auto">
        <a:xfrm>
          <a:off x="4163198" y="5666142"/>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17022</xdr:colOff>
      <xdr:row>42</xdr:row>
      <xdr:rowOff>37147</xdr:rowOff>
    </xdr:from>
    <xdr:to>
      <xdr:col>3</xdr:col>
      <xdr:colOff>230008</xdr:colOff>
      <xdr:row>43</xdr:row>
      <xdr:rowOff>17606</xdr:rowOff>
    </xdr:to>
    <xdr:sp macro="" textlink="">
      <xdr:nvSpPr>
        <xdr:cNvPr id="95" name="Text Box 4">
          <a:hlinkClick xmlns:r="http://schemas.openxmlformats.org/officeDocument/2006/relationships" r:id="rId40"/>
          <a:extLst>
            <a:ext uri="{FF2B5EF4-FFF2-40B4-BE49-F238E27FC236}">
              <a16:creationId xmlns="" xmlns:a16="http://schemas.microsoft.com/office/drawing/2014/main" id="{DBAA6ADE-0F30-4445-BD2B-FB9DFFD8F9F6}"/>
            </a:ext>
          </a:extLst>
        </xdr:cNvPr>
        <xdr:cNvSpPr txBox="1">
          <a:spLocks noChangeArrowheads="1"/>
        </xdr:cNvSpPr>
      </xdr:nvSpPr>
      <xdr:spPr bwMode="auto">
        <a:xfrm>
          <a:off x="4163198" y="585888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21334</xdr:colOff>
      <xdr:row>61</xdr:row>
      <xdr:rowOff>19722</xdr:rowOff>
    </xdr:from>
    <xdr:to>
      <xdr:col>3</xdr:col>
      <xdr:colOff>229559</xdr:colOff>
      <xdr:row>62</xdr:row>
      <xdr:rowOff>181</xdr:rowOff>
    </xdr:to>
    <xdr:sp macro="" textlink="">
      <xdr:nvSpPr>
        <xdr:cNvPr id="99" name="Text Box 4">
          <a:hlinkClick xmlns:r="http://schemas.openxmlformats.org/officeDocument/2006/relationships" r:id="rId41"/>
          <a:extLst>
            <a:ext uri="{FF2B5EF4-FFF2-40B4-BE49-F238E27FC236}">
              <a16:creationId xmlns="" xmlns:a16="http://schemas.microsoft.com/office/drawing/2014/main" id="{93D95B0F-BE08-4347-8A5E-503F4D58D73D}"/>
            </a:ext>
          </a:extLst>
        </xdr:cNvPr>
        <xdr:cNvSpPr txBox="1">
          <a:spLocks noChangeArrowheads="1"/>
        </xdr:cNvSpPr>
      </xdr:nvSpPr>
      <xdr:spPr bwMode="auto">
        <a:xfrm>
          <a:off x="4162748" y="8114851"/>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18366</xdr:colOff>
      <xdr:row>62</xdr:row>
      <xdr:rowOff>40005</xdr:rowOff>
    </xdr:from>
    <xdr:to>
      <xdr:col>3</xdr:col>
      <xdr:colOff>226591</xdr:colOff>
      <xdr:row>63</xdr:row>
      <xdr:rowOff>20463</xdr:rowOff>
    </xdr:to>
    <xdr:sp macro="" textlink="">
      <xdr:nvSpPr>
        <xdr:cNvPr id="100" name="Text Box 4">
          <a:hlinkClick xmlns:r="http://schemas.openxmlformats.org/officeDocument/2006/relationships" r:id="rId42"/>
          <a:extLst>
            <a:ext uri="{FF2B5EF4-FFF2-40B4-BE49-F238E27FC236}">
              <a16:creationId xmlns="" xmlns:a16="http://schemas.microsoft.com/office/drawing/2014/main" id="{D26ED0EE-DCAE-4590-8028-41A919C36702}"/>
            </a:ext>
          </a:extLst>
        </xdr:cNvPr>
        <xdr:cNvSpPr txBox="1">
          <a:spLocks noChangeArrowheads="1"/>
        </xdr:cNvSpPr>
      </xdr:nvSpPr>
      <xdr:spPr bwMode="auto">
        <a:xfrm>
          <a:off x="4164542" y="8291456"/>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21334</xdr:colOff>
      <xdr:row>66</xdr:row>
      <xdr:rowOff>17145</xdr:rowOff>
    </xdr:from>
    <xdr:to>
      <xdr:col>3</xdr:col>
      <xdr:colOff>248627</xdr:colOff>
      <xdr:row>66</xdr:row>
      <xdr:rowOff>150896</xdr:rowOff>
    </xdr:to>
    <xdr:sp macro="" textlink="">
      <xdr:nvSpPr>
        <xdr:cNvPr id="101" name="Text Box 4">
          <a:hlinkClick xmlns:r="http://schemas.openxmlformats.org/officeDocument/2006/relationships" r:id="rId43"/>
          <a:extLst>
            <a:ext uri="{FF2B5EF4-FFF2-40B4-BE49-F238E27FC236}">
              <a16:creationId xmlns="" xmlns:a16="http://schemas.microsoft.com/office/drawing/2014/main" id="{5F99DF89-BAA3-4A25-B190-CFCB54178B9F}"/>
            </a:ext>
          </a:extLst>
        </xdr:cNvPr>
        <xdr:cNvSpPr txBox="1">
          <a:spLocks noChangeArrowheads="1"/>
        </xdr:cNvSpPr>
      </xdr:nvSpPr>
      <xdr:spPr bwMode="auto">
        <a:xfrm>
          <a:off x="4161852" y="8915400"/>
          <a:ext cx="219456" cy="148097"/>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21054</xdr:colOff>
      <xdr:row>68</xdr:row>
      <xdr:rowOff>36867</xdr:rowOff>
    </xdr:from>
    <xdr:to>
      <xdr:col>3</xdr:col>
      <xdr:colOff>229673</xdr:colOff>
      <xdr:row>69</xdr:row>
      <xdr:rowOff>17326</xdr:rowOff>
    </xdr:to>
    <xdr:sp macro="" textlink="">
      <xdr:nvSpPr>
        <xdr:cNvPr id="102" name="Text Box 4">
          <a:hlinkClick xmlns:r="http://schemas.openxmlformats.org/officeDocument/2006/relationships" r:id="rId44"/>
          <a:extLst>
            <a:ext uri="{FF2B5EF4-FFF2-40B4-BE49-F238E27FC236}">
              <a16:creationId xmlns="" xmlns:a16="http://schemas.microsoft.com/office/drawing/2014/main" id="{230791F5-54C4-4B67-8E0E-488156096EAF}"/>
            </a:ext>
          </a:extLst>
        </xdr:cNvPr>
        <xdr:cNvSpPr txBox="1">
          <a:spLocks noChangeArrowheads="1"/>
        </xdr:cNvSpPr>
      </xdr:nvSpPr>
      <xdr:spPr bwMode="auto">
        <a:xfrm>
          <a:off x="4167230" y="9283401"/>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40273</xdr:colOff>
      <xdr:row>75</xdr:row>
      <xdr:rowOff>38941</xdr:rowOff>
    </xdr:from>
    <xdr:to>
      <xdr:col>3</xdr:col>
      <xdr:colOff>249286</xdr:colOff>
      <xdr:row>75</xdr:row>
      <xdr:rowOff>170331</xdr:rowOff>
    </xdr:to>
    <xdr:sp macro="" textlink="">
      <xdr:nvSpPr>
        <xdr:cNvPr id="103" name="Text Box 4">
          <a:hlinkClick xmlns:r="http://schemas.openxmlformats.org/officeDocument/2006/relationships" r:id="rId45"/>
          <a:extLst>
            <a:ext uri="{FF2B5EF4-FFF2-40B4-BE49-F238E27FC236}">
              <a16:creationId xmlns="" xmlns:a16="http://schemas.microsoft.com/office/drawing/2014/main" id="{52E32B85-E707-4B07-A0F6-B9BC4DB4BA22}"/>
            </a:ext>
          </a:extLst>
        </xdr:cNvPr>
        <xdr:cNvSpPr txBox="1">
          <a:spLocks noChangeArrowheads="1"/>
        </xdr:cNvSpPr>
      </xdr:nvSpPr>
      <xdr:spPr bwMode="auto">
        <a:xfrm>
          <a:off x="4171266" y="996875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38929</xdr:colOff>
      <xdr:row>76</xdr:row>
      <xdr:rowOff>38047</xdr:rowOff>
    </xdr:from>
    <xdr:to>
      <xdr:col>3</xdr:col>
      <xdr:colOff>247942</xdr:colOff>
      <xdr:row>76</xdr:row>
      <xdr:rowOff>173778</xdr:rowOff>
    </xdr:to>
    <xdr:sp macro="" textlink="">
      <xdr:nvSpPr>
        <xdr:cNvPr id="104" name="Text Box 4">
          <a:hlinkClick xmlns:r="http://schemas.openxmlformats.org/officeDocument/2006/relationships" r:id="rId46"/>
          <a:extLst>
            <a:ext uri="{FF2B5EF4-FFF2-40B4-BE49-F238E27FC236}">
              <a16:creationId xmlns="" xmlns:a16="http://schemas.microsoft.com/office/drawing/2014/main" id="{5206439C-9FF5-4FDB-9EAD-5663EE75AF07}"/>
            </a:ext>
          </a:extLst>
        </xdr:cNvPr>
        <xdr:cNvSpPr txBox="1">
          <a:spLocks noChangeArrowheads="1"/>
        </xdr:cNvSpPr>
      </xdr:nvSpPr>
      <xdr:spPr bwMode="auto">
        <a:xfrm>
          <a:off x="4170818" y="10153878"/>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36685</xdr:colOff>
      <xdr:row>77</xdr:row>
      <xdr:rowOff>18045</xdr:rowOff>
    </xdr:from>
    <xdr:to>
      <xdr:col>3</xdr:col>
      <xdr:colOff>245698</xdr:colOff>
      <xdr:row>78</xdr:row>
      <xdr:rowOff>1027</xdr:rowOff>
    </xdr:to>
    <xdr:sp macro="" textlink="">
      <xdr:nvSpPr>
        <xdr:cNvPr id="105" name="Text Box 4">
          <a:hlinkClick xmlns:r="http://schemas.openxmlformats.org/officeDocument/2006/relationships" r:id="rId47"/>
          <a:extLst>
            <a:ext uri="{FF2B5EF4-FFF2-40B4-BE49-F238E27FC236}">
              <a16:creationId xmlns="" xmlns:a16="http://schemas.microsoft.com/office/drawing/2014/main" id="{0D7EFDE0-853B-497C-82C5-5DAA063FB447}"/>
            </a:ext>
          </a:extLst>
        </xdr:cNvPr>
        <xdr:cNvSpPr txBox="1">
          <a:spLocks noChangeArrowheads="1"/>
        </xdr:cNvSpPr>
      </xdr:nvSpPr>
      <xdr:spPr bwMode="auto">
        <a:xfrm>
          <a:off x="4168574" y="1032106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mc:AlternateContent xmlns:mc="http://schemas.openxmlformats.org/markup-compatibility/2006">
    <mc:Choice xmlns:a14="http://schemas.microsoft.com/office/drawing/2010/main" Requires="a14">
      <xdr:twoCellAnchor editAs="oneCell">
        <xdr:from>
          <xdr:col>8</xdr:col>
          <xdr:colOff>981075</xdr:colOff>
          <xdr:row>77</xdr:row>
          <xdr:rowOff>28575</xdr:rowOff>
        </xdr:from>
        <xdr:to>
          <xdr:col>14</xdr:col>
          <xdr:colOff>19050</xdr:colOff>
          <xdr:row>78</xdr:row>
          <xdr:rowOff>9525</xdr:rowOff>
        </xdr:to>
        <xdr:sp macro="" textlink="">
          <xdr:nvSpPr>
            <xdr:cNvPr id="788685" name="Check Box 18637" hidden="1">
              <a:extLst>
                <a:ext uri="{63B3BB69-23CF-44E3-9099-C40C66FF867C}">
                  <a14:compatExt spid="_x0000_s788685"/>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 Customer Retail Unit Cost to value real losses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66675</xdr:colOff>
          <xdr:row>42</xdr:row>
          <xdr:rowOff>19050</xdr:rowOff>
        </xdr:from>
        <xdr:to>
          <xdr:col>12</xdr:col>
          <xdr:colOff>457200</xdr:colOff>
          <xdr:row>42</xdr:row>
          <xdr:rowOff>161925</xdr:rowOff>
        </xdr:to>
        <xdr:grpSp>
          <xdr:nvGrpSpPr>
            <xdr:cNvPr id="6242473" name="Group 3"/>
            <xdr:cNvGrpSpPr>
              <a:grpSpLocks/>
            </xdr:cNvGrpSpPr>
          </xdr:nvGrpSpPr>
          <xdr:grpSpPr bwMode="auto">
            <a:xfrm>
              <a:off x="8420100" y="5991225"/>
              <a:ext cx="390525" cy="142875"/>
              <a:chOff x="8618216" y="5806440"/>
              <a:chExt cx="403881" cy="144780"/>
            </a:xfrm>
          </xdr:grpSpPr>
          <xdr:sp macro="" textlink="">
            <xdr:nvSpPr>
              <xdr:cNvPr id="819594" name="Option Button 19850" hidden="1">
                <a:extLst>
                  <a:ext uri="{63B3BB69-23CF-44E3-9099-C40C66FF867C}">
                    <a14:compatExt spid="_x0000_s819594"/>
                  </a:ext>
                </a:extLst>
              </xdr:cNvPr>
              <xdr:cNvSpPr/>
            </xdr:nvSpPr>
            <xdr:spPr bwMode="auto">
              <a:xfrm>
                <a:off x="8618216" y="5806440"/>
                <a:ext cx="198120" cy="14478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sp macro="" textlink="">
            <xdr:nvSpPr>
              <xdr:cNvPr id="819595" name="Option Button 19851" hidden="1">
                <a:extLst>
                  <a:ext uri="{63B3BB69-23CF-44E3-9099-C40C66FF867C}">
                    <a14:compatExt spid="_x0000_s819595"/>
                  </a:ext>
                </a:extLst>
              </xdr:cNvPr>
              <xdr:cNvSpPr/>
            </xdr:nvSpPr>
            <xdr:spPr bwMode="auto">
              <a:xfrm>
                <a:off x="8869697" y="5806440"/>
                <a:ext cx="152400" cy="14478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267652</xdr:colOff>
      <xdr:row>63</xdr:row>
      <xdr:rowOff>38100</xdr:rowOff>
    </xdr:from>
    <xdr:to>
      <xdr:col>3</xdr:col>
      <xdr:colOff>496649</xdr:colOff>
      <xdr:row>64</xdr:row>
      <xdr:rowOff>20778</xdr:rowOff>
    </xdr:to>
    <xdr:sp macro="" textlink="">
      <xdr:nvSpPr>
        <xdr:cNvPr id="88" name="Text Box 13">
          <a:hlinkClick xmlns:r="http://schemas.openxmlformats.org/officeDocument/2006/relationships" r:id="rId48"/>
          <a:extLst>
            <a:ext uri="{FF2B5EF4-FFF2-40B4-BE49-F238E27FC236}">
              <a16:creationId xmlns="" xmlns:a16="http://schemas.microsoft.com/office/drawing/2014/main" id="{EE295CA0-D0A5-4924-A72F-69A61EC7F0C6}"/>
            </a:ext>
          </a:extLst>
        </xdr:cNvPr>
        <xdr:cNvSpPr txBox="1">
          <a:spLocks noChangeArrowheads="1"/>
        </xdr:cNvSpPr>
      </xdr:nvSpPr>
      <xdr:spPr bwMode="auto">
        <a:xfrm>
          <a:off x="4450080" y="8481060"/>
          <a:ext cx="219456" cy="1480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1150620</xdr:colOff>
      <xdr:row>10</xdr:row>
      <xdr:rowOff>0</xdr:rowOff>
    </xdr:from>
    <xdr:to>
      <xdr:col>7</xdr:col>
      <xdr:colOff>51</xdr:colOff>
      <xdr:row>12</xdr:row>
      <xdr:rowOff>17254</xdr:rowOff>
    </xdr:to>
    <xdr:sp macro="" textlink="">
      <xdr:nvSpPr>
        <xdr:cNvPr id="90" name="Text Box 8">
          <a:extLst>
            <a:ext uri="{FF2B5EF4-FFF2-40B4-BE49-F238E27FC236}">
              <a16:creationId xmlns="" xmlns:a16="http://schemas.microsoft.com/office/drawing/2014/main" id="{68318D6F-5841-440D-BF54-38458C63997E}"/>
            </a:ext>
          </a:extLst>
        </xdr:cNvPr>
        <xdr:cNvSpPr txBox="1">
          <a:spLocks noChangeArrowheads="1"/>
        </xdr:cNvSpPr>
      </xdr:nvSpPr>
      <xdr:spPr bwMode="auto">
        <a:xfrm>
          <a:off x="1402080" y="1722120"/>
          <a:ext cx="4800600" cy="365760"/>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1000" b="0" i="0" u="none" strike="noStrike" baseline="0">
              <a:solidFill>
                <a:srgbClr val="000000"/>
              </a:solidFill>
              <a:latin typeface="Arial"/>
              <a:cs typeface="Arial"/>
            </a:rPr>
            <a:t>To select the correct data grading for each input, determine the highest grade where the utility meets or exceeds </a:t>
          </a:r>
          <a:r>
            <a:rPr lang="en-US" sz="1000" b="0" i="0" u="sng" strike="noStrike" baseline="0">
              <a:solidFill>
                <a:srgbClr val="000000"/>
              </a:solidFill>
              <a:latin typeface="Arial"/>
              <a:cs typeface="Arial"/>
            </a:rPr>
            <a:t>all</a:t>
          </a:r>
          <a:r>
            <a:rPr lang="en-US" sz="1000" b="0" i="0" u="none" strike="noStrike" baseline="0">
              <a:solidFill>
                <a:srgbClr val="000000"/>
              </a:solidFill>
              <a:latin typeface="Arial"/>
              <a:cs typeface="Arial"/>
            </a:rPr>
            <a:t> criteria for that grade and all grades below 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3144202</xdr:colOff>
      <xdr:row>16</xdr:row>
      <xdr:rowOff>17145</xdr:rowOff>
    </xdr:from>
    <xdr:to>
      <xdr:col>2</xdr:col>
      <xdr:colOff>3362583</xdr:colOff>
      <xdr:row>17</xdr:row>
      <xdr:rowOff>563</xdr:rowOff>
    </xdr:to>
    <xdr:sp macro="" textlink="">
      <xdr:nvSpPr>
        <xdr:cNvPr id="18" name="Text Box 53">
          <a:hlinkClick xmlns:r="http://schemas.openxmlformats.org/officeDocument/2006/relationships" r:id="rId1"/>
          <a:extLst>
            <a:ext uri="{FF2B5EF4-FFF2-40B4-BE49-F238E27FC236}">
              <a16:creationId xmlns="" xmlns:a16="http://schemas.microsoft.com/office/drawing/2014/main" id="{9B29592D-49BB-4170-80D3-BEC9D0CE70E8}"/>
            </a:ext>
          </a:extLst>
        </xdr:cNvPr>
        <xdr:cNvSpPr txBox="1">
          <a:spLocks noChangeArrowheads="1"/>
        </xdr:cNvSpPr>
      </xdr:nvSpPr>
      <xdr:spPr bwMode="auto">
        <a:xfrm>
          <a:off x="3417570" y="2499360"/>
          <a:ext cx="234723" cy="162243"/>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2810827</xdr:colOff>
      <xdr:row>44</xdr:row>
      <xdr:rowOff>36195</xdr:rowOff>
    </xdr:from>
    <xdr:to>
      <xdr:col>2</xdr:col>
      <xdr:colOff>3038557</xdr:colOff>
      <xdr:row>45</xdr:row>
      <xdr:rowOff>1905</xdr:rowOff>
    </xdr:to>
    <xdr:sp macro="" textlink="">
      <xdr:nvSpPr>
        <xdr:cNvPr id="19" name="Text Box 54">
          <a:hlinkClick xmlns:r="http://schemas.openxmlformats.org/officeDocument/2006/relationships" r:id="rId2"/>
          <a:extLst>
            <a:ext uri="{FF2B5EF4-FFF2-40B4-BE49-F238E27FC236}">
              <a16:creationId xmlns="" xmlns:a16="http://schemas.microsoft.com/office/drawing/2014/main" id="{03CE7031-92DA-49B2-9513-99BBFCD3A5E4}"/>
            </a:ext>
          </a:extLst>
        </xdr:cNvPr>
        <xdr:cNvSpPr txBox="1">
          <a:spLocks noChangeArrowheads="1"/>
        </xdr:cNvSpPr>
      </xdr:nvSpPr>
      <xdr:spPr bwMode="auto">
        <a:xfrm>
          <a:off x="3059430" y="6137910"/>
          <a:ext cx="234723" cy="156210"/>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76200</xdr:colOff>
      <xdr:row>47</xdr:row>
      <xdr:rowOff>0</xdr:rowOff>
    </xdr:from>
    <xdr:to>
      <xdr:col>15</xdr:col>
      <xdr:colOff>114300</xdr:colOff>
      <xdr:row>59</xdr:row>
      <xdr:rowOff>0</xdr:rowOff>
    </xdr:to>
    <xdr:sp macro="" textlink="">
      <xdr:nvSpPr>
        <xdr:cNvPr id="5696449" name="Rectangle 405"/>
        <xdr:cNvSpPr>
          <a:spLocks noChangeArrowheads="1"/>
        </xdr:cNvSpPr>
      </xdr:nvSpPr>
      <xdr:spPr bwMode="auto">
        <a:xfrm>
          <a:off x="142875" y="6696075"/>
          <a:ext cx="10058400" cy="0"/>
        </a:xfrm>
        <a:prstGeom prst="rect">
          <a:avLst/>
        </a:prstGeom>
        <a:noFill/>
        <a:ln w="15875"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370522</xdr:colOff>
      <xdr:row>47</xdr:row>
      <xdr:rowOff>0</xdr:rowOff>
    </xdr:from>
    <xdr:to>
      <xdr:col>13</xdr:col>
      <xdr:colOff>410583</xdr:colOff>
      <xdr:row>47</xdr:row>
      <xdr:rowOff>0</xdr:rowOff>
    </xdr:to>
    <xdr:sp macro="" textlink="">
      <xdr:nvSpPr>
        <xdr:cNvPr id="35" name="AutoShape 409">
          <a:hlinkClick xmlns:r="http://schemas.openxmlformats.org/officeDocument/2006/relationships" r:id="rId3"/>
          <a:extLst>
            <a:ext uri="{FF2B5EF4-FFF2-40B4-BE49-F238E27FC236}">
              <a16:creationId xmlns="" xmlns:a16="http://schemas.microsoft.com/office/drawing/2014/main" id="{2D57C875-A88F-49BE-81E3-06970131D70E}"/>
            </a:ext>
          </a:extLst>
        </xdr:cNvPr>
        <xdr:cNvSpPr>
          <a:spLocks noChangeArrowheads="1"/>
        </xdr:cNvSpPr>
      </xdr:nvSpPr>
      <xdr:spPr bwMode="auto">
        <a:xfrm>
          <a:off x="4512945" y="15695295"/>
          <a:ext cx="4918716" cy="283845"/>
        </a:xfrm>
        <a:prstGeom prst="bevel">
          <a:avLst>
            <a:gd name="adj" fmla="val 12500"/>
          </a:avLst>
        </a:prstGeom>
        <a:solidFill>
          <a:srgbClr val="3366FF"/>
        </a:solidFill>
        <a:ln w="12700">
          <a:solidFill>
            <a:srgbClr val="000000"/>
          </a:solidFill>
          <a:miter lim="800000"/>
          <a:headEnd/>
          <a:tailEnd/>
        </a:ln>
        <a:effectLst/>
      </xdr:spPr>
      <xdr:txBody>
        <a:bodyPr vertOverflow="clip" wrap="square" lIns="27432" tIns="22860" rIns="27432" bIns="0" anchor="t" upright="1"/>
        <a:lstStyle/>
        <a:p>
          <a:pPr algn="ctr" rtl="0">
            <a:defRPr sz="1000"/>
          </a:pPr>
          <a:r>
            <a:rPr lang="en-US" sz="1000" b="1" i="0" u="sng" strike="noStrike" baseline="0">
              <a:solidFill>
                <a:srgbClr val="FFFFFF"/>
              </a:solidFill>
              <a:latin typeface="Arial"/>
              <a:cs typeface="Arial"/>
            </a:rPr>
            <a:t>For more information, click here to see the Grading Matrix worksheet</a:t>
          </a:r>
        </a:p>
      </xdr:txBody>
    </xdr:sp>
    <xdr:clientData/>
  </xdr:twoCellAnchor>
  <xdr:twoCellAnchor>
    <xdr:from>
      <xdr:col>12</xdr:col>
      <xdr:colOff>246697</xdr:colOff>
      <xdr:row>1</xdr:row>
      <xdr:rowOff>230505</xdr:rowOff>
    </xdr:from>
    <xdr:to>
      <xdr:col>15</xdr:col>
      <xdr:colOff>190394</xdr:colOff>
      <xdr:row>1</xdr:row>
      <xdr:rowOff>513576</xdr:rowOff>
    </xdr:to>
    <xdr:sp macro="" textlink="">
      <xdr:nvSpPr>
        <xdr:cNvPr id="70" name="Text Box 474">
          <a:extLst>
            <a:ext uri="{FF2B5EF4-FFF2-40B4-BE49-F238E27FC236}">
              <a16:creationId xmlns="" xmlns:a16="http://schemas.microsoft.com/office/drawing/2014/main" id="{D78735FE-6598-4A15-A486-00F89C990985}"/>
            </a:ext>
          </a:extLst>
        </xdr:cNvPr>
        <xdr:cNvSpPr txBox="1">
          <a:spLocks noChangeArrowheads="1"/>
        </xdr:cNvSpPr>
      </xdr:nvSpPr>
      <xdr:spPr bwMode="auto">
        <a:xfrm>
          <a:off x="859536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14</xdr:col>
      <xdr:colOff>144780</xdr:colOff>
      <xdr:row>1</xdr:row>
      <xdr:rowOff>38100</xdr:rowOff>
    </xdr:from>
    <xdr:to>
      <xdr:col>15</xdr:col>
      <xdr:colOff>170642</xdr:colOff>
      <xdr:row>1</xdr:row>
      <xdr:rowOff>245746</xdr:rowOff>
    </xdr:to>
    <xdr:sp macro="" textlink="">
      <xdr:nvSpPr>
        <xdr:cNvPr id="71" name="Text Box 706">
          <a:extLst>
            <a:ext uri="{FF2B5EF4-FFF2-40B4-BE49-F238E27FC236}">
              <a16:creationId xmlns="" xmlns:a16="http://schemas.microsoft.com/office/drawing/2014/main" id="{9E2C3CB7-6C8F-4E43-AFA0-07EA601C4AFC}"/>
            </a:ext>
          </a:extLst>
        </xdr:cNvPr>
        <xdr:cNvSpPr txBox="1">
          <a:spLocks noChangeArrowheads="1"/>
        </xdr:cNvSpPr>
      </xdr:nvSpPr>
      <xdr:spPr bwMode="auto">
        <a:xfrm>
          <a:off x="9852660" y="121920"/>
          <a:ext cx="60960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76200</xdr:colOff>
      <xdr:row>1</xdr:row>
      <xdr:rowOff>66675</xdr:rowOff>
    </xdr:from>
    <xdr:to>
      <xdr:col>2</xdr:col>
      <xdr:colOff>342900</xdr:colOff>
      <xdr:row>1</xdr:row>
      <xdr:rowOff>476250</xdr:rowOff>
    </xdr:to>
    <xdr:pic>
      <xdr:nvPicPr>
        <xdr:cNvPr id="5696453" name="Picture 71">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75" y="152400"/>
          <a:ext cx="390525" cy="409575"/>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2105025</xdr:colOff>
      <xdr:row>25</xdr:row>
      <xdr:rowOff>28575</xdr:rowOff>
    </xdr:from>
    <xdr:to>
      <xdr:col>2</xdr:col>
      <xdr:colOff>2343150</xdr:colOff>
      <xdr:row>27</xdr:row>
      <xdr:rowOff>190500</xdr:rowOff>
    </xdr:to>
    <xdr:sp macro="" textlink="">
      <xdr:nvSpPr>
        <xdr:cNvPr id="5696454" name="Left Brace 2"/>
        <xdr:cNvSpPr>
          <a:spLocks/>
        </xdr:cNvSpPr>
      </xdr:nvSpPr>
      <xdr:spPr bwMode="auto">
        <a:xfrm>
          <a:off x="2295525" y="3676650"/>
          <a:ext cx="238125" cy="419100"/>
        </a:xfrm>
        <a:prstGeom prst="leftBrace">
          <a:avLst>
            <a:gd name="adj1" fmla="val 7855"/>
            <a:gd name="adj2" fmla="val 50000"/>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1638300</xdr:colOff>
      <xdr:row>31</xdr:row>
      <xdr:rowOff>9525</xdr:rowOff>
    </xdr:from>
    <xdr:to>
      <xdr:col>2</xdr:col>
      <xdr:colOff>1876425</xdr:colOff>
      <xdr:row>37</xdr:row>
      <xdr:rowOff>171450</xdr:rowOff>
    </xdr:to>
    <xdr:sp macro="" textlink="">
      <xdr:nvSpPr>
        <xdr:cNvPr id="5696455" name="Left Brace 13"/>
        <xdr:cNvSpPr>
          <a:spLocks/>
        </xdr:cNvSpPr>
      </xdr:nvSpPr>
      <xdr:spPr bwMode="auto">
        <a:xfrm>
          <a:off x="1828800" y="4429125"/>
          <a:ext cx="238125" cy="952500"/>
        </a:xfrm>
        <a:prstGeom prst="leftBrace">
          <a:avLst>
            <a:gd name="adj1" fmla="val 7944"/>
            <a:gd name="adj2" fmla="val 50000"/>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743902</xdr:colOff>
      <xdr:row>25</xdr:row>
      <xdr:rowOff>116205</xdr:rowOff>
    </xdr:from>
    <xdr:to>
      <xdr:col>2</xdr:col>
      <xdr:colOff>2048827</xdr:colOff>
      <xdr:row>27</xdr:row>
      <xdr:rowOff>78105</xdr:rowOff>
    </xdr:to>
    <xdr:sp macro="" textlink="">
      <xdr:nvSpPr>
        <xdr:cNvPr id="4" name="TextBox 3">
          <a:extLst>
            <a:ext uri="{FF2B5EF4-FFF2-40B4-BE49-F238E27FC236}">
              <a16:creationId xmlns="" xmlns:a16="http://schemas.microsoft.com/office/drawing/2014/main" id="{700E87A0-BFB1-430D-AA64-E7EE072E7269}"/>
            </a:ext>
          </a:extLst>
        </xdr:cNvPr>
        <xdr:cNvSpPr txBox="1"/>
      </xdr:nvSpPr>
      <xdr:spPr>
        <a:xfrm>
          <a:off x="937260" y="3787140"/>
          <a:ext cx="13335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latin typeface="Arial" pitchFamily="34" charset="0"/>
              <a:cs typeface="Arial" pitchFamily="34" charset="0"/>
            </a:rPr>
            <a:t>Financial:</a:t>
          </a:r>
        </a:p>
      </xdr:txBody>
    </xdr:sp>
    <xdr:clientData/>
  </xdr:twoCellAnchor>
  <xdr:twoCellAnchor>
    <xdr:from>
      <xdr:col>1</xdr:col>
      <xdr:colOff>103822</xdr:colOff>
      <xdr:row>33</xdr:row>
      <xdr:rowOff>123825</xdr:rowOff>
    </xdr:from>
    <xdr:to>
      <xdr:col>2</xdr:col>
      <xdr:colOff>1601894</xdr:colOff>
      <xdr:row>35</xdr:row>
      <xdr:rowOff>76200</xdr:rowOff>
    </xdr:to>
    <xdr:sp macro="" textlink="">
      <xdr:nvSpPr>
        <xdr:cNvPr id="16" name="TextBox 15">
          <a:extLst>
            <a:ext uri="{FF2B5EF4-FFF2-40B4-BE49-F238E27FC236}">
              <a16:creationId xmlns="" xmlns:a16="http://schemas.microsoft.com/office/drawing/2014/main" id="{F6FDEE30-6E56-44BF-8BE6-7BEC3ACA42B9}"/>
            </a:ext>
          </a:extLst>
        </xdr:cNvPr>
        <xdr:cNvSpPr txBox="1"/>
      </xdr:nvSpPr>
      <xdr:spPr>
        <a:xfrm>
          <a:off x="160020" y="4884420"/>
          <a:ext cx="166116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latin typeface="Arial" pitchFamily="34" charset="0"/>
              <a:cs typeface="Arial" pitchFamily="34" charset="0"/>
            </a:rPr>
            <a:t>Operational</a:t>
          </a:r>
          <a:r>
            <a:rPr lang="en-US" sz="1100" baseline="0">
              <a:latin typeface="Arial" pitchFamily="34" charset="0"/>
              <a:cs typeface="Arial" pitchFamily="34" charset="0"/>
            </a:rPr>
            <a:t> Efficiency</a:t>
          </a:r>
          <a:r>
            <a:rPr lang="en-US" sz="1100">
              <a:latin typeface="Arial" pitchFamily="34" charset="0"/>
              <a:cs typeface="Arial" pitchFamily="34" charset="0"/>
            </a:rPr>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4</xdr:col>
      <xdr:colOff>123824</xdr:colOff>
      <xdr:row>4</xdr:row>
      <xdr:rowOff>116972</xdr:rowOff>
    </xdr:to>
    <xdr:sp macro="" textlink="">
      <xdr:nvSpPr>
        <xdr:cNvPr id="4605655" name="Text Box 706">
          <a:extLst>
            <a:ext uri="{FF2B5EF4-FFF2-40B4-BE49-F238E27FC236}">
              <a16:creationId xmlns="" xmlns:a16="http://schemas.microsoft.com/office/drawing/2014/main" id="{4F000C12-5D75-4187-8D1C-0D469C008BF0}"/>
            </a:ext>
          </a:extLst>
        </xdr:cNvPr>
        <xdr:cNvSpPr txBox="1">
          <a:spLocks noChangeArrowheads="1"/>
        </xdr:cNvSpPr>
      </xdr:nvSpPr>
      <xdr:spPr bwMode="auto">
        <a:xfrm>
          <a:off x="16706850" y="5715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p>
      </xdr:txBody>
    </xdr:sp>
    <xdr:clientData/>
  </xdr:twoCellAnchor>
  <xdr:twoCellAnchor editAs="oneCell">
    <xdr:from>
      <xdr:col>1</xdr:col>
      <xdr:colOff>47625</xdr:colOff>
      <xdr:row>1</xdr:row>
      <xdr:rowOff>57150</xdr:rowOff>
    </xdr:from>
    <xdr:to>
      <xdr:col>1</xdr:col>
      <xdr:colOff>400050</xdr:colOff>
      <xdr:row>1</xdr:row>
      <xdr:rowOff>438150</xdr:rowOff>
    </xdr:to>
    <xdr:pic>
      <xdr:nvPicPr>
        <xdr:cNvPr id="4605750" name="Picture 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42875"/>
          <a:ext cx="352425" cy="38100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8049032</xdr:colOff>
      <xdr:row>1</xdr:row>
      <xdr:rowOff>36740</xdr:rowOff>
    </xdr:from>
    <xdr:to>
      <xdr:col>2</xdr:col>
      <xdr:colOff>8657696</xdr:colOff>
      <xdr:row>1</xdr:row>
      <xdr:rowOff>246964</xdr:rowOff>
    </xdr:to>
    <xdr:sp macro="" textlink="">
      <xdr:nvSpPr>
        <xdr:cNvPr id="7" name="Text Box 706">
          <a:extLst>
            <a:ext uri="{FF2B5EF4-FFF2-40B4-BE49-F238E27FC236}">
              <a16:creationId xmlns="" xmlns:a16="http://schemas.microsoft.com/office/drawing/2014/main" id="{1B9AD6CA-A929-4358-B053-3A34FE8F60CE}"/>
            </a:ext>
          </a:extLst>
        </xdr:cNvPr>
        <xdr:cNvSpPr txBox="1">
          <a:spLocks noChangeArrowheads="1"/>
        </xdr:cNvSpPr>
      </xdr:nvSpPr>
      <xdr:spPr bwMode="auto">
        <a:xfrm>
          <a:off x="10178686" y="108858"/>
          <a:ext cx="608899"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2</xdr:col>
      <xdr:colOff>6542858</xdr:colOff>
      <xdr:row>1</xdr:row>
      <xdr:rowOff>227240</xdr:rowOff>
    </xdr:from>
    <xdr:to>
      <xdr:col>2</xdr:col>
      <xdr:colOff>8695228</xdr:colOff>
      <xdr:row>1</xdr:row>
      <xdr:rowOff>514834</xdr:rowOff>
    </xdr:to>
    <xdr:sp macro="" textlink="">
      <xdr:nvSpPr>
        <xdr:cNvPr id="9" name="Text Box 474">
          <a:extLst>
            <a:ext uri="{FF2B5EF4-FFF2-40B4-BE49-F238E27FC236}">
              <a16:creationId xmlns="" xmlns:a16="http://schemas.microsoft.com/office/drawing/2014/main" id="{BB354CC9-D909-4D66-8625-2AD2465C0A9E}"/>
            </a:ext>
          </a:extLst>
        </xdr:cNvPr>
        <xdr:cNvSpPr txBox="1">
          <a:spLocks noChangeArrowheads="1"/>
        </xdr:cNvSpPr>
      </xdr:nvSpPr>
      <xdr:spPr bwMode="auto">
        <a:xfrm>
          <a:off x="8667749" y="299358"/>
          <a:ext cx="2157846"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1</xdr:row>
      <xdr:rowOff>57150</xdr:rowOff>
    </xdr:from>
    <xdr:to>
      <xdr:col>1</xdr:col>
      <xdr:colOff>409575</xdr:colOff>
      <xdr:row>2</xdr:row>
      <xdr:rowOff>95250</xdr:rowOff>
    </xdr:to>
    <xdr:pic>
      <xdr:nvPicPr>
        <xdr:cNvPr id="4790961" name="Picture 7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04775"/>
          <a:ext cx="352425" cy="34290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677227</xdr:colOff>
      <xdr:row>1</xdr:row>
      <xdr:rowOff>37147</xdr:rowOff>
    </xdr:from>
    <xdr:to>
      <xdr:col>6</xdr:col>
      <xdr:colOff>1295885</xdr:colOff>
      <xdr:row>1</xdr:row>
      <xdr:rowOff>229213</xdr:rowOff>
    </xdr:to>
    <xdr:sp macro="" textlink="">
      <xdr:nvSpPr>
        <xdr:cNvPr id="6" name="Text Box 706">
          <a:extLst>
            <a:ext uri="{FF2B5EF4-FFF2-40B4-BE49-F238E27FC236}">
              <a16:creationId xmlns="" xmlns:a16="http://schemas.microsoft.com/office/drawing/2014/main" id="{2A0F6986-E53C-4404-AB43-06A396C7E529}"/>
            </a:ext>
          </a:extLst>
        </xdr:cNvPr>
        <xdr:cNvSpPr txBox="1">
          <a:spLocks noChangeArrowheads="1"/>
        </xdr:cNvSpPr>
      </xdr:nvSpPr>
      <xdr:spPr bwMode="auto">
        <a:xfrm>
          <a:off x="9441180" y="68580"/>
          <a:ext cx="64008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5</xdr:col>
      <xdr:colOff>1820227</xdr:colOff>
      <xdr:row>1</xdr:row>
      <xdr:rowOff>230505</xdr:rowOff>
    </xdr:from>
    <xdr:to>
      <xdr:col>6</xdr:col>
      <xdr:colOff>1297354</xdr:colOff>
      <xdr:row>2</xdr:row>
      <xdr:rowOff>210533</xdr:rowOff>
    </xdr:to>
    <xdr:sp macro="" textlink="">
      <xdr:nvSpPr>
        <xdr:cNvPr id="7" name="Text Box 474">
          <a:extLst>
            <a:ext uri="{FF2B5EF4-FFF2-40B4-BE49-F238E27FC236}">
              <a16:creationId xmlns="" xmlns:a16="http://schemas.microsoft.com/office/drawing/2014/main" id="{55030F99-5E83-448D-9EE5-D2307E6A13FB}"/>
            </a:ext>
          </a:extLst>
        </xdr:cNvPr>
        <xdr:cNvSpPr txBox="1">
          <a:spLocks noChangeArrowheads="1"/>
        </xdr:cNvSpPr>
      </xdr:nvSpPr>
      <xdr:spPr bwMode="auto">
        <a:xfrm>
          <a:off x="7856220" y="266700"/>
          <a:ext cx="2232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1161097</xdr:colOff>
      <xdr:row>28</xdr:row>
      <xdr:rowOff>57150</xdr:rowOff>
    </xdr:from>
    <xdr:to>
      <xdr:col>8</xdr:col>
      <xdr:colOff>267139</xdr:colOff>
      <xdr:row>31</xdr:row>
      <xdr:rowOff>76200</xdr:rowOff>
    </xdr:to>
    <xdr:sp macro="" textlink="">
      <xdr:nvSpPr>
        <xdr:cNvPr id="17420" name="Text Box 12">
          <a:extLst>
            <a:ext uri="{FF2B5EF4-FFF2-40B4-BE49-F238E27FC236}">
              <a16:creationId xmlns="" xmlns:a16="http://schemas.microsoft.com/office/drawing/2014/main" id="{68ACA50D-DB7D-4CCE-9BB5-BA81034B7CC3}"/>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266700</xdr:colOff>
      <xdr:row>6</xdr:row>
      <xdr:rowOff>28575</xdr:rowOff>
    </xdr:from>
    <xdr:to>
      <xdr:col>16</xdr:col>
      <xdr:colOff>161925</xdr:colOff>
      <xdr:row>36</xdr:row>
      <xdr:rowOff>57150</xdr:rowOff>
    </xdr:to>
    <xdr:graphicFrame macro="">
      <xdr:nvGraphicFramePr>
        <xdr:cNvPr id="602148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657225</xdr:colOff>
      <xdr:row>1</xdr:row>
      <xdr:rowOff>40005</xdr:rowOff>
    </xdr:from>
    <xdr:to>
      <xdr:col>15</xdr:col>
      <xdr:colOff>560205</xdr:colOff>
      <xdr:row>1</xdr:row>
      <xdr:rowOff>247651</xdr:rowOff>
    </xdr:to>
    <xdr:sp macro="" textlink="">
      <xdr:nvSpPr>
        <xdr:cNvPr id="4" name="Text Box 706">
          <a:extLst>
            <a:ext uri="{FF2B5EF4-FFF2-40B4-BE49-F238E27FC236}">
              <a16:creationId xmlns="" xmlns:a16="http://schemas.microsoft.com/office/drawing/2014/main" id="{ECDCF9A8-EEB9-4059-94C8-FEC61B19601D}"/>
            </a:ext>
          </a:extLst>
        </xdr:cNvPr>
        <xdr:cNvSpPr txBox="1">
          <a:spLocks noChangeArrowheads="1"/>
        </xdr:cNvSpPr>
      </xdr:nvSpPr>
      <xdr:spPr bwMode="auto">
        <a:xfrm>
          <a:off x="10988040" y="121920"/>
          <a:ext cx="609600" cy="20764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66675</xdr:colOff>
      <xdr:row>1</xdr:row>
      <xdr:rowOff>66675</xdr:rowOff>
    </xdr:from>
    <xdr:to>
      <xdr:col>1</xdr:col>
      <xdr:colOff>466725</xdr:colOff>
      <xdr:row>1</xdr:row>
      <xdr:rowOff>476250</xdr:rowOff>
    </xdr:to>
    <xdr:pic>
      <xdr:nvPicPr>
        <xdr:cNvPr id="6021491" name="Picture 9">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 y="152400"/>
          <a:ext cx="400050" cy="409575"/>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142875</xdr:colOff>
      <xdr:row>1</xdr:row>
      <xdr:rowOff>227647</xdr:rowOff>
    </xdr:from>
    <xdr:to>
      <xdr:col>16</xdr:col>
      <xdr:colOff>1003</xdr:colOff>
      <xdr:row>1</xdr:row>
      <xdr:rowOff>515540</xdr:rowOff>
    </xdr:to>
    <xdr:sp macro="" textlink="">
      <xdr:nvSpPr>
        <xdr:cNvPr id="6" name="Text Box 474">
          <a:extLst>
            <a:ext uri="{FF2B5EF4-FFF2-40B4-BE49-F238E27FC236}">
              <a16:creationId xmlns="" xmlns:a16="http://schemas.microsoft.com/office/drawing/2014/main" id="{82E5ADF0-EA9C-4755-8DDD-4B1AC7EB5986}"/>
            </a:ext>
          </a:extLst>
        </xdr:cNvPr>
        <xdr:cNvSpPr txBox="1">
          <a:spLocks noChangeArrowheads="1"/>
        </xdr:cNvSpPr>
      </xdr:nvSpPr>
      <xdr:spPr bwMode="auto">
        <a:xfrm>
          <a:off x="976122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4</xdr:col>
      <xdr:colOff>390525</xdr:colOff>
      <xdr:row>6</xdr:row>
      <xdr:rowOff>47625</xdr:rowOff>
    </xdr:from>
    <xdr:to>
      <xdr:col>6</xdr:col>
      <xdr:colOff>638175</xdr:colOff>
      <xdr:row>36</xdr:row>
      <xdr:rowOff>66675</xdr:rowOff>
    </xdr:to>
    <xdr:graphicFrame macro="">
      <xdr:nvGraphicFramePr>
        <xdr:cNvPr id="60214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47625</xdr:colOff>
      <xdr:row>6</xdr:row>
      <xdr:rowOff>47625</xdr:rowOff>
    </xdr:from>
    <xdr:to>
      <xdr:col>2</xdr:col>
      <xdr:colOff>781050</xdr:colOff>
      <xdr:row>36</xdr:row>
      <xdr:rowOff>66675</xdr:rowOff>
    </xdr:to>
    <xdr:graphicFrame macro="">
      <xdr:nvGraphicFramePr>
        <xdr:cNvPr id="602149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409575</xdr:colOff>
      <xdr:row>6</xdr:row>
      <xdr:rowOff>47625</xdr:rowOff>
    </xdr:from>
    <xdr:to>
      <xdr:col>9</xdr:col>
      <xdr:colOff>95250</xdr:colOff>
      <xdr:row>36</xdr:row>
      <xdr:rowOff>66675</xdr:rowOff>
    </xdr:to>
    <xdr:graphicFrame macro="">
      <xdr:nvGraphicFramePr>
        <xdr:cNvPr id="602149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533400</xdr:colOff>
      <xdr:row>6</xdr:row>
      <xdr:rowOff>47625</xdr:rowOff>
    </xdr:from>
    <xdr:to>
      <xdr:col>11</xdr:col>
      <xdr:colOff>228600</xdr:colOff>
      <xdr:row>36</xdr:row>
      <xdr:rowOff>66675</xdr:rowOff>
    </xdr:to>
    <xdr:graphicFrame macro="">
      <xdr:nvGraphicFramePr>
        <xdr:cNvPr id="602149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85725</xdr:colOff>
          <xdr:row>4</xdr:row>
          <xdr:rowOff>9525</xdr:rowOff>
        </xdr:from>
        <xdr:to>
          <xdr:col>12</xdr:col>
          <xdr:colOff>285750</xdr:colOff>
          <xdr:row>5</xdr:row>
          <xdr:rowOff>38100</xdr:rowOff>
        </xdr:to>
        <xdr:sp macro="" textlink="">
          <xdr:nvSpPr>
            <xdr:cNvPr id="1339486" name="Option Button 94" hidden="1">
              <a:extLst>
                <a:ext uri="{63B3BB69-23CF-44E3-9099-C40C66FF867C}">
                  <a14:compatExt spid="_x0000_s1339486"/>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xdr:row>
          <xdr:rowOff>9525</xdr:rowOff>
        </xdr:from>
        <xdr:to>
          <xdr:col>12</xdr:col>
          <xdr:colOff>285750</xdr:colOff>
          <xdr:row>6</xdr:row>
          <xdr:rowOff>19050</xdr:rowOff>
        </xdr:to>
        <xdr:sp macro="" textlink="">
          <xdr:nvSpPr>
            <xdr:cNvPr id="1339487" name="Option Button 95" hidden="1">
              <a:extLst>
                <a:ext uri="{63B3BB69-23CF-44E3-9099-C40C66FF867C}">
                  <a14:compatExt spid="_x0000_s1339487"/>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38100</xdr:colOff>
      <xdr:row>2</xdr:row>
      <xdr:rowOff>55245</xdr:rowOff>
    </xdr:from>
    <xdr:to>
      <xdr:col>4</xdr:col>
      <xdr:colOff>123825</xdr:colOff>
      <xdr:row>6</xdr:row>
      <xdr:rowOff>62</xdr:rowOff>
    </xdr:to>
    <xdr:sp macro="" textlink="">
      <xdr:nvSpPr>
        <xdr:cNvPr id="2" name="TextBox 1">
          <a:extLst>
            <a:ext uri="{FF2B5EF4-FFF2-40B4-BE49-F238E27FC236}">
              <a16:creationId xmlns="" xmlns:a16="http://schemas.microsoft.com/office/drawing/2014/main" id="{DB6C1E26-038B-4D2E-B6DA-A8D86115457E}"/>
            </a:ext>
          </a:extLst>
        </xdr:cNvPr>
        <xdr:cNvSpPr txBox="1"/>
      </xdr:nvSpPr>
      <xdr:spPr>
        <a:xfrm>
          <a:off x="137160" y="678180"/>
          <a:ext cx="2994660" cy="624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a:t>The graphic below is a visual representation</a:t>
          </a:r>
          <a:r>
            <a:rPr lang="en-US" sz="1050" baseline="0"/>
            <a:t> of the Water Balance with bar heights propotional to the volume of the audit components</a:t>
          </a:r>
          <a:endParaRPr lang="en-US" sz="1050"/>
        </a:p>
      </xdr:txBody>
    </xdr:sp>
    <xdr:clientData/>
  </xdr:twoCellAnchor>
  <xdr:twoCellAnchor>
    <xdr:from>
      <xdr:col>2</xdr:col>
      <xdr:colOff>742950</xdr:colOff>
      <xdr:row>6</xdr:row>
      <xdr:rowOff>47625</xdr:rowOff>
    </xdr:from>
    <xdr:to>
      <xdr:col>4</xdr:col>
      <xdr:colOff>552450</xdr:colOff>
      <xdr:row>36</xdr:row>
      <xdr:rowOff>66675</xdr:rowOff>
    </xdr:to>
    <xdr:graphicFrame macro="">
      <xdr:nvGraphicFramePr>
        <xdr:cNvPr id="60214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1905</xdr:colOff>
      <xdr:row>2</xdr:row>
      <xdr:rowOff>55246</xdr:rowOff>
    </xdr:from>
    <xdr:to>
      <xdr:col>6</xdr:col>
      <xdr:colOff>1905</xdr:colOff>
      <xdr:row>2</xdr:row>
      <xdr:rowOff>75566</xdr:rowOff>
    </xdr:to>
    <xdr:sp macro="" textlink="">
      <xdr:nvSpPr>
        <xdr:cNvPr id="5" name="Text Box 34">
          <a:extLst>
            <a:ext uri="{FF2B5EF4-FFF2-40B4-BE49-F238E27FC236}">
              <a16:creationId xmlns="" xmlns:a16="http://schemas.microsoft.com/office/drawing/2014/main" id="{0E57E318-F46E-4D23-A8A2-EBD471F5BBF4}"/>
            </a:ext>
          </a:extLst>
        </xdr:cNvPr>
        <xdr:cNvSpPr txBox="1">
          <a:spLocks noChangeArrowheads="1"/>
        </xdr:cNvSpPr>
      </xdr:nvSpPr>
      <xdr:spPr bwMode="auto">
        <a:xfrm>
          <a:off x="5419725" y="403861"/>
          <a:ext cx="539115" cy="14478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800" b="0" i="0" u="none" strike="noStrike" baseline="0">
              <a:solidFill>
                <a:srgbClr val="FFFFFF"/>
              </a:solidFill>
              <a:latin typeface="Arial"/>
              <a:cs typeface="Arial"/>
            </a:rPr>
            <a:t> WAS 5.0</a:t>
          </a:r>
          <a:endParaRPr lang="en-US"/>
        </a:p>
      </xdr:txBody>
    </xdr:sp>
    <xdr:clientData/>
  </xdr:twoCellAnchor>
  <xdr:twoCellAnchor>
    <xdr:from>
      <xdr:col>2</xdr:col>
      <xdr:colOff>57150</xdr:colOff>
      <xdr:row>1</xdr:row>
      <xdr:rowOff>57150</xdr:rowOff>
    </xdr:from>
    <xdr:to>
      <xdr:col>2</xdr:col>
      <xdr:colOff>342900</xdr:colOff>
      <xdr:row>2</xdr:row>
      <xdr:rowOff>28575</xdr:rowOff>
    </xdr:to>
    <xdr:pic>
      <xdr:nvPicPr>
        <xdr:cNvPr id="6027412" name="Picture 7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14300"/>
          <a:ext cx="285750" cy="257175"/>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1001077</xdr:colOff>
      <xdr:row>1</xdr:row>
      <xdr:rowOff>37147</xdr:rowOff>
    </xdr:from>
    <xdr:to>
      <xdr:col>13</xdr:col>
      <xdr:colOff>1512476</xdr:colOff>
      <xdr:row>1</xdr:row>
      <xdr:rowOff>171465</xdr:rowOff>
    </xdr:to>
    <xdr:sp macro="" textlink="">
      <xdr:nvSpPr>
        <xdr:cNvPr id="7" name="Text Box 34">
          <a:extLst>
            <a:ext uri="{FF2B5EF4-FFF2-40B4-BE49-F238E27FC236}">
              <a16:creationId xmlns="" xmlns:a16="http://schemas.microsoft.com/office/drawing/2014/main" id="{806A27B0-49D3-4BC3-B0DB-12B9B4F8CB41}"/>
            </a:ext>
          </a:extLst>
        </xdr:cNvPr>
        <xdr:cNvSpPr txBox="1">
          <a:spLocks noChangeArrowheads="1"/>
        </xdr:cNvSpPr>
      </xdr:nvSpPr>
      <xdr:spPr bwMode="auto">
        <a:xfrm>
          <a:off x="13601700" y="83820"/>
          <a:ext cx="539115" cy="14478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800" b="0" i="0" u="none" strike="noStrike" baseline="0">
              <a:solidFill>
                <a:srgbClr val="FFFFFF"/>
              </a:solidFill>
              <a:latin typeface="Arial"/>
              <a:cs typeface="Arial"/>
            </a:rPr>
            <a:t> WAS 5.0</a:t>
          </a:r>
          <a:endParaRPr lang="en-US"/>
        </a:p>
      </xdr:txBody>
    </xdr:sp>
    <xdr:clientData/>
  </xdr:twoCellAnchor>
  <xdr:twoCellAnchor>
    <xdr:from>
      <xdr:col>10</xdr:col>
      <xdr:colOff>552450</xdr:colOff>
      <xdr:row>1</xdr:row>
      <xdr:rowOff>190500</xdr:rowOff>
    </xdr:from>
    <xdr:to>
      <xdr:col>13</xdr:col>
      <xdr:colOff>1522053</xdr:colOff>
      <xdr:row>2</xdr:row>
      <xdr:rowOff>71197</xdr:rowOff>
    </xdr:to>
    <xdr:sp macro="" textlink="">
      <xdr:nvSpPr>
        <xdr:cNvPr id="8" name="Text Box 474">
          <a:extLst>
            <a:ext uri="{FF2B5EF4-FFF2-40B4-BE49-F238E27FC236}">
              <a16:creationId xmlns="" xmlns:a16="http://schemas.microsoft.com/office/drawing/2014/main" id="{9FF5C1C0-3317-48BF-87D8-D7F57168B7EB}"/>
            </a:ext>
          </a:extLst>
        </xdr:cNvPr>
        <xdr:cNvSpPr txBox="1">
          <a:spLocks noChangeArrowheads="1"/>
        </xdr:cNvSpPr>
      </xdr:nvSpPr>
      <xdr:spPr bwMode="auto">
        <a:xfrm>
          <a:off x="10393680" y="251460"/>
          <a:ext cx="37414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752475</xdr:colOff>
      <xdr:row>3</xdr:row>
      <xdr:rowOff>38100</xdr:rowOff>
    </xdr:from>
    <xdr:to>
      <xdr:col>4</xdr:col>
      <xdr:colOff>3743325</xdr:colOff>
      <xdr:row>9</xdr:row>
      <xdr:rowOff>209550</xdr:rowOff>
    </xdr:to>
    <xdr:pic>
      <xdr:nvPicPr>
        <xdr:cNvPr id="5709756" name="Picture 22" descr="Meter-at-curb-sto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7875" y="647700"/>
          <a:ext cx="52959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9</xdr:row>
      <xdr:rowOff>228600</xdr:rowOff>
    </xdr:from>
    <xdr:to>
      <xdr:col>4</xdr:col>
      <xdr:colOff>3752850</xdr:colOff>
      <xdr:row>16</xdr:row>
      <xdr:rowOff>28575</xdr:rowOff>
    </xdr:to>
    <xdr:pic>
      <xdr:nvPicPr>
        <xdr:cNvPr id="5709757" name="Picture 23" descr="Meter-Inside-Propert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7875" y="3638550"/>
          <a:ext cx="5305425"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16</xdr:row>
      <xdr:rowOff>47625</xdr:rowOff>
    </xdr:from>
    <xdr:to>
      <xdr:col>4</xdr:col>
      <xdr:colOff>3743325</xdr:colOff>
      <xdr:row>22</xdr:row>
      <xdr:rowOff>428625</xdr:rowOff>
    </xdr:to>
    <xdr:pic>
      <xdr:nvPicPr>
        <xdr:cNvPr id="5709758" name="Picture 24" descr="Unmetered"/>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57400" y="6724650"/>
          <a:ext cx="5286375"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286702</xdr:rowOff>
    </xdr:from>
    <xdr:to>
      <xdr:col>2</xdr:col>
      <xdr:colOff>639087</xdr:colOff>
      <xdr:row>19</xdr:row>
      <xdr:rowOff>266700</xdr:rowOff>
    </xdr:to>
    <xdr:sp macro="" textlink="">
      <xdr:nvSpPr>
        <xdr:cNvPr id="28714" name="Text Box 26">
          <a:extLst>
            <a:ext uri="{FF2B5EF4-FFF2-40B4-BE49-F238E27FC236}">
              <a16:creationId xmlns="" xmlns:a16="http://schemas.microsoft.com/office/drawing/2014/main" id="{C347E1A6-BA69-49A1-A912-4173E38B87D8}"/>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2</xdr:col>
      <xdr:colOff>819150</xdr:colOff>
      <xdr:row>8</xdr:row>
      <xdr:rowOff>304800</xdr:rowOff>
    </xdr:from>
    <xdr:to>
      <xdr:col>3</xdr:col>
      <xdr:colOff>497243</xdr:colOff>
      <xdr:row>9</xdr:row>
      <xdr:rowOff>137408</xdr:rowOff>
    </xdr:to>
    <xdr:sp macro="" textlink="">
      <xdr:nvSpPr>
        <xdr:cNvPr id="28703" name="Text Box 31">
          <a:extLst>
            <a:ext uri="{FF2B5EF4-FFF2-40B4-BE49-F238E27FC236}">
              <a16:creationId xmlns="" xmlns:a16="http://schemas.microsoft.com/office/drawing/2014/main" id="{995E4554-70DB-4A5C-925B-1906BF626607}"/>
            </a:ext>
          </a:extLst>
        </xdr:cNvPr>
        <xdr:cNvSpPr txBox="1">
          <a:spLocks noChangeArrowheads="1"/>
        </xdr:cNvSpPr>
      </xdr:nvSpPr>
      <xdr:spPr bwMode="auto">
        <a:xfrm>
          <a:off x="2124075" y="3352800"/>
          <a:ext cx="800100" cy="304800"/>
        </a:xfrm>
        <a:prstGeom prst="rect">
          <a:avLst/>
        </a:prstGeom>
        <a:noFill/>
        <a:ln w="12700" algn="ctr">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Figure 1</a:t>
          </a:r>
        </a:p>
      </xdr:txBody>
    </xdr:sp>
    <xdr:clientData/>
  </xdr:twoCellAnchor>
  <xdr:twoCellAnchor>
    <xdr:from>
      <xdr:col>2</xdr:col>
      <xdr:colOff>864870</xdr:colOff>
      <xdr:row>15</xdr:row>
      <xdr:rowOff>76200</xdr:rowOff>
    </xdr:from>
    <xdr:to>
      <xdr:col>3</xdr:col>
      <xdr:colOff>515607</xdr:colOff>
      <xdr:row>15</xdr:row>
      <xdr:rowOff>381000</xdr:rowOff>
    </xdr:to>
    <xdr:sp macro="" textlink="">
      <xdr:nvSpPr>
        <xdr:cNvPr id="28704" name="Text Box 32">
          <a:extLst>
            <a:ext uri="{FF2B5EF4-FFF2-40B4-BE49-F238E27FC236}">
              <a16:creationId xmlns="" xmlns:a16="http://schemas.microsoft.com/office/drawing/2014/main" id="{0D9DDA00-929A-4606-8C74-4C680936F8FD}"/>
            </a:ext>
          </a:extLst>
        </xdr:cNvPr>
        <xdr:cNvSpPr txBox="1">
          <a:spLocks noChangeArrowheads="1"/>
        </xdr:cNvSpPr>
      </xdr:nvSpPr>
      <xdr:spPr bwMode="auto">
        <a:xfrm>
          <a:off x="2152650" y="6400800"/>
          <a:ext cx="800100" cy="304800"/>
        </a:xfrm>
        <a:prstGeom prst="rect">
          <a:avLst/>
        </a:prstGeom>
        <a:noFill/>
        <a:ln w="12700" algn="ctr">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Figure 2</a:t>
          </a:r>
        </a:p>
      </xdr:txBody>
    </xdr:sp>
    <xdr:clientData/>
  </xdr:twoCellAnchor>
  <xdr:twoCellAnchor>
    <xdr:from>
      <xdr:col>2</xdr:col>
      <xdr:colOff>902970</xdr:colOff>
      <xdr:row>21</xdr:row>
      <xdr:rowOff>457200</xdr:rowOff>
    </xdr:from>
    <xdr:to>
      <xdr:col>3</xdr:col>
      <xdr:colOff>556048</xdr:colOff>
      <xdr:row>22</xdr:row>
      <xdr:rowOff>304800</xdr:rowOff>
    </xdr:to>
    <xdr:sp macro="" textlink="">
      <xdr:nvSpPr>
        <xdr:cNvPr id="28705" name="Text Box 33">
          <a:extLst>
            <a:ext uri="{FF2B5EF4-FFF2-40B4-BE49-F238E27FC236}">
              <a16:creationId xmlns="" xmlns:a16="http://schemas.microsoft.com/office/drawing/2014/main" id="{8D75D52F-5FCB-4ACF-9751-03422BD4537A}"/>
            </a:ext>
          </a:extLst>
        </xdr:cNvPr>
        <xdr:cNvSpPr txBox="1">
          <a:spLocks noChangeArrowheads="1"/>
        </xdr:cNvSpPr>
      </xdr:nvSpPr>
      <xdr:spPr bwMode="auto">
        <a:xfrm>
          <a:off x="2190750" y="9582150"/>
          <a:ext cx="800100" cy="304800"/>
        </a:xfrm>
        <a:prstGeom prst="rect">
          <a:avLst/>
        </a:prstGeom>
        <a:noFill/>
        <a:ln w="12700" algn="ctr">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Figure 3</a:t>
          </a:r>
        </a:p>
      </xdr:txBody>
    </xdr:sp>
    <xdr:clientData/>
  </xdr:twoCellAnchor>
  <xdr:twoCellAnchor>
    <xdr:from>
      <xdr:col>4</xdr:col>
      <xdr:colOff>2255520</xdr:colOff>
      <xdr:row>2</xdr:row>
      <xdr:rowOff>55245</xdr:rowOff>
    </xdr:from>
    <xdr:to>
      <xdr:col>5</xdr:col>
      <xdr:colOff>91488</xdr:colOff>
      <xdr:row>3</xdr:row>
      <xdr:rowOff>914</xdr:rowOff>
    </xdr:to>
    <xdr:sp macro="" textlink="">
      <xdr:nvSpPr>
        <xdr:cNvPr id="17" name="Text Box 474">
          <a:extLst>
            <a:ext uri="{FF2B5EF4-FFF2-40B4-BE49-F238E27FC236}">
              <a16:creationId xmlns="" xmlns:a16="http://schemas.microsoft.com/office/drawing/2014/main" id="{BF52727A-A077-4A4B-BF9D-2B74EC63F8C1}"/>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3410902</xdr:colOff>
      <xdr:row>1</xdr:row>
      <xdr:rowOff>58102</xdr:rowOff>
    </xdr:from>
    <xdr:to>
      <xdr:col>5</xdr:col>
      <xdr:colOff>56405</xdr:colOff>
      <xdr:row>2</xdr:row>
      <xdr:rowOff>18886</xdr:rowOff>
    </xdr:to>
    <xdr:sp macro="" textlink="">
      <xdr:nvSpPr>
        <xdr:cNvPr id="18" name="Text Box 706">
          <a:extLst>
            <a:ext uri="{FF2B5EF4-FFF2-40B4-BE49-F238E27FC236}">
              <a16:creationId xmlns="" xmlns:a16="http://schemas.microsoft.com/office/drawing/2014/main" id="{8C87338C-18F2-4833-A65D-1F6D10417AEF}"/>
            </a:ext>
          </a:extLst>
        </xdr:cNvPr>
        <xdr:cNvSpPr txBox="1">
          <a:spLocks noChangeArrowheads="1"/>
        </xdr:cNvSpPr>
      </xdr:nvSpPr>
      <xdr:spPr bwMode="auto">
        <a:xfrm>
          <a:off x="7208520" y="99060"/>
          <a:ext cx="632460" cy="15430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76200</xdr:colOff>
      <xdr:row>1</xdr:row>
      <xdr:rowOff>76200</xdr:rowOff>
    </xdr:from>
    <xdr:to>
      <xdr:col>1</xdr:col>
      <xdr:colOff>476250</xdr:colOff>
      <xdr:row>2</xdr:row>
      <xdr:rowOff>295275</xdr:rowOff>
    </xdr:to>
    <xdr:pic>
      <xdr:nvPicPr>
        <xdr:cNvPr id="5709765" name="Picture 71">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350" y="123825"/>
          <a:ext cx="400050" cy="409575"/>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391477</xdr:colOff>
      <xdr:row>20</xdr:row>
      <xdr:rowOff>324802</xdr:rowOff>
    </xdr:from>
    <xdr:to>
      <xdr:col>2</xdr:col>
      <xdr:colOff>392423</xdr:colOff>
      <xdr:row>22</xdr:row>
      <xdr:rowOff>38100</xdr:rowOff>
    </xdr:to>
    <xdr:sp macro="" textlink="">
      <xdr:nvSpPr>
        <xdr:cNvPr id="3" name="Rounded Rectangle 2">
          <a:hlinkClick xmlns:r="http://schemas.openxmlformats.org/officeDocument/2006/relationships" r:id="rId6"/>
          <a:extLst>
            <a:ext uri="{FF2B5EF4-FFF2-40B4-BE49-F238E27FC236}">
              <a16:creationId xmlns="" xmlns:a16="http://schemas.microsoft.com/office/drawing/2014/main" id="{D386E780-E8A6-45F1-B0B1-E91A4CE60709}"/>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omments" Target="../comments4.xml"/><Relationship Id="rId3" Type="http://schemas.openxmlformats.org/officeDocument/2006/relationships/vmlDrawing" Target="../drawings/vmlDrawing6.vml"/><Relationship Id="rId7" Type="http://schemas.openxmlformats.org/officeDocument/2006/relationships/ctrlProp" Target="../ctrlProps/ctrlProp29.xml"/><Relationship Id="rId12" Type="http://schemas.openxmlformats.org/officeDocument/2006/relationships/ctrlProp" Target="../ctrlProps/ctrlProp34.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lc@awwa.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IU65534"/>
  <sheetViews>
    <sheetView workbookViewId="0">
      <selection activeCell="B2" sqref="B2:O2"/>
    </sheetView>
  </sheetViews>
  <sheetFormatPr defaultRowHeight="12.75"/>
  <cols>
    <col min="255" max="255" width="10.28515625" bestFit="1" customWidth="1"/>
  </cols>
  <sheetData>
    <row r="65534" spans="255:255">
      <c r="IU65534" t="s">
        <v>2</v>
      </c>
    </row>
  </sheetData>
  <sheetProtection password="8B16" sheet="1" objects="1" scenarios="1"/>
  <phoneticPr fontId="4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3" tint="0.79998168889431442"/>
    <pageSetUpPr fitToPage="1"/>
  </sheetPr>
  <dimension ref="A1:IU38"/>
  <sheetViews>
    <sheetView showGridLines="0" showRowColHeaders="0" zoomScaleNormal="100" workbookViewId="0">
      <selection activeCell="B2" sqref="B2:P2"/>
    </sheetView>
  </sheetViews>
  <sheetFormatPr defaultColWidth="0" defaultRowHeight="12.75" zeroHeight="1"/>
  <cols>
    <col min="1" max="1" width="1" style="217" customWidth="1"/>
    <col min="2" max="2" width="15.5703125" style="217" customWidth="1"/>
    <col min="3" max="3" width="16.28515625" style="217" customWidth="1"/>
    <col min="4" max="4" width="10.7109375" style="217" customWidth="1"/>
    <col min="5" max="5" width="12.5703125" style="217" customWidth="1"/>
    <col min="6" max="11" width="10.42578125" style="217" customWidth="1"/>
    <col min="12" max="12" width="8.28515625" style="217" customWidth="1"/>
    <col min="13" max="13" width="4.42578125" style="217" customWidth="1"/>
    <col min="14" max="14" width="18.42578125" style="217" customWidth="1"/>
    <col min="15" max="15" width="10.42578125" style="217" customWidth="1"/>
    <col min="16" max="16" width="8.85546875" style="217" customWidth="1"/>
    <col min="17" max="17" width="3.140625" style="217" customWidth="1"/>
    <col min="18" max="18" width="4.85546875" style="237" hidden="1" customWidth="1"/>
    <col min="19" max="19" width="17.28515625" style="237" hidden="1" customWidth="1"/>
    <col min="20" max="20" width="3" style="237" hidden="1" customWidth="1"/>
    <col min="21" max="21" width="15.85546875" style="237" hidden="1" customWidth="1"/>
    <col min="22" max="22" width="13.5703125" style="237" hidden="1" customWidth="1"/>
    <col min="23" max="23" width="14.5703125" style="237" hidden="1" customWidth="1"/>
    <col min="24" max="255" width="8.85546875" style="237" hidden="1" customWidth="1"/>
    <col min="256" max="16384" width="2.5703125" style="237" hidden="1"/>
  </cols>
  <sheetData>
    <row r="1" spans="1:19" ht="7.15" customHeight="1" thickBot="1"/>
    <row r="2" spans="1:19" s="238" customFormat="1" ht="42" customHeight="1" thickBot="1">
      <c r="A2" s="218"/>
      <c r="B2" s="879" t="s">
        <v>374</v>
      </c>
      <c r="C2" s="880"/>
      <c r="D2" s="880"/>
      <c r="E2" s="880"/>
      <c r="F2" s="880"/>
      <c r="G2" s="880"/>
      <c r="H2" s="880"/>
      <c r="I2" s="880"/>
      <c r="J2" s="880"/>
      <c r="K2" s="880"/>
      <c r="L2" s="880"/>
      <c r="M2" s="880"/>
      <c r="N2" s="880"/>
      <c r="O2" s="880"/>
      <c r="P2" s="881"/>
      <c r="Q2" s="218"/>
      <c r="R2" s="237"/>
    </row>
    <row r="3" spans="1:19" s="238" customFormat="1" ht="5.45" customHeight="1">
      <c r="A3" s="218"/>
      <c r="B3" s="218"/>
      <c r="C3" s="218"/>
      <c r="D3" s="218"/>
      <c r="E3" s="218"/>
      <c r="F3" s="218"/>
      <c r="G3" s="218"/>
      <c r="H3" s="218"/>
      <c r="I3" s="218"/>
      <c r="J3" s="218"/>
      <c r="K3" s="218"/>
      <c r="L3" s="218"/>
      <c r="M3" s="218"/>
      <c r="N3" s="218"/>
      <c r="O3" s="218"/>
      <c r="P3" s="218"/>
      <c r="Q3" s="218"/>
      <c r="R3" s="237"/>
    </row>
    <row r="4" spans="1:19" s="238" customFormat="1" ht="14.45" customHeight="1">
      <c r="A4" s="218"/>
      <c r="B4" s="218"/>
      <c r="C4" s="218"/>
      <c r="D4" s="218"/>
      <c r="E4" s="218"/>
      <c r="F4" s="365" t="s">
        <v>193</v>
      </c>
      <c r="G4" s="884" t="str">
        <f>IF(ISBLANK(Instructions!D18),"&lt;&lt; Please enter system details and contact information on the Instructions tab &gt;&gt;",Instructions!D18&amp;IF(ISBLANK(Instructions!D36),"","  ("&amp;Instructions!D36&amp;")"))</f>
        <v>Sunnyslope County Water District  (CA3510003)</v>
      </c>
      <c r="H4" s="885"/>
      <c r="I4" s="885"/>
      <c r="J4" s="886"/>
      <c r="K4" s="886"/>
      <c r="L4" s="886"/>
      <c r="M4" s="886"/>
      <c r="N4" s="887"/>
      <c r="O4" s="218"/>
      <c r="P4" s="218"/>
      <c r="Q4" s="218"/>
      <c r="R4" s="237"/>
    </row>
    <row r="5" spans="1:19" ht="16.899999999999999" customHeight="1">
      <c r="F5" s="365" t="s">
        <v>194</v>
      </c>
      <c r="G5" s="770">
        <f>IF(ISBLANK(Instructions!D26),"",Instructions!D26)</f>
        <v>2018</v>
      </c>
      <c r="H5" s="882" t="str">
        <f>IF(ISBLANK(Instructions!D26),"",IF(Instructions!E26="Calendar Year","1/"&amp;Instructions!D26&amp;" - "&amp;"12/"&amp;Instructions!D26,IF(OR(ISBLANK(Instructions!D28),ISBLANK(Instructions!D30)),"",MONTH(Instructions!D28)&amp;"/"&amp;YEAR(Instructions!D28)&amp;" - "&amp;MONTH(Instructions!D30)&amp;"/"&amp;YEAR(Instructions!D30))))</f>
        <v>7/2018 - 6/2019</v>
      </c>
      <c r="I5" s="883"/>
      <c r="J5" s="764"/>
      <c r="K5" s="764"/>
      <c r="L5" s="764"/>
      <c r="M5" s="764"/>
      <c r="N5" s="220" t="s">
        <v>404</v>
      </c>
    </row>
    <row r="6" spans="1:19" ht="16.899999999999999" customHeight="1">
      <c r="B6" s="220"/>
      <c r="F6" s="365" t="s">
        <v>727</v>
      </c>
      <c r="G6" s="770">
        <f>IF(ISBLANK(Instructions!$D$34),"N/A*",IF(GradingAssessment!M24&gt;0,"N/A*",ROUND(GradingAssessment!G24,0)))</f>
        <v>51</v>
      </c>
      <c r="H6" s="766" t="str">
        <f>IF(G6="N/A*","* Confirm Units and Data Grading are Complete","")</f>
        <v/>
      </c>
      <c r="I6" s="765"/>
      <c r="J6" s="765"/>
      <c r="K6" s="765"/>
      <c r="L6" s="765"/>
      <c r="M6" s="765"/>
      <c r="N6" s="220" t="s">
        <v>405</v>
      </c>
      <c r="S6" s="774">
        <v>2</v>
      </c>
    </row>
    <row r="7" spans="1:19" ht="13.15" customHeight="1"/>
    <row r="8" spans="1:19" ht="13.9" customHeight="1">
      <c r="B8" s="220"/>
    </row>
    <row r="9" spans="1:19" ht="13.9" customHeight="1">
      <c r="B9" s="220"/>
      <c r="C9" s="236"/>
    </row>
    <row r="10" spans="1:19" ht="13.9" customHeight="1">
      <c r="B10" s="220"/>
    </row>
    <row r="11" spans="1:19" ht="13.9" customHeight="1"/>
    <row r="12" spans="1:19" ht="13.9" customHeight="1"/>
    <row r="13" spans="1:19" ht="13.9" customHeight="1"/>
    <row r="14" spans="1:19" ht="13.9" customHeight="1">
      <c r="C14" s="236"/>
    </row>
    <row r="15" spans="1:19" ht="13.9" customHeight="1">
      <c r="C15" s="236"/>
    </row>
    <row r="16" spans="1:19" ht="13.9" customHeight="1"/>
    <row r="17" spans="3:3" ht="13.9" customHeight="1"/>
    <row r="18" spans="3:3" ht="13.9" customHeight="1"/>
    <row r="19" spans="3:3" ht="13.9" customHeight="1">
      <c r="C19" s="236"/>
    </row>
    <row r="20" spans="3:3" ht="13.9" customHeight="1">
      <c r="C20" s="236"/>
    </row>
    <row r="21" spans="3:3" ht="13.9" customHeight="1">
      <c r="C21" s="236"/>
    </row>
    <row r="22" spans="3:3" ht="13.9" customHeight="1"/>
    <row r="23" spans="3:3" ht="13.9" customHeight="1"/>
    <row r="24" spans="3:3" ht="13.9" customHeight="1"/>
    <row r="25" spans="3:3" ht="13.9" customHeight="1"/>
    <row r="26" spans="3:3" ht="13.9" customHeight="1"/>
    <row r="27" spans="3:3" ht="13.9" customHeight="1"/>
    <row r="28" spans="3:3" ht="13.9" customHeight="1"/>
    <row r="29" spans="3:3" ht="13.9" customHeight="1"/>
    <row r="30" spans="3:3" ht="13.9" customHeight="1"/>
    <row r="31" spans="3:3" ht="13.9" customHeight="1"/>
    <row r="32" spans="3:3" ht="13.9" customHeight="1"/>
    <row r="33" ht="13.9" customHeight="1"/>
    <row r="34" ht="13.9" customHeight="1"/>
    <row r="35" ht="13.9" customHeight="1"/>
    <row r="36" ht="13.9" customHeight="1"/>
    <row r="37" ht="9" customHeight="1"/>
    <row r="38" ht="6.6" customHeight="1"/>
  </sheetData>
  <sheetProtection password="8B16" sheet="1" objects="1" scenarios="1"/>
  <mergeCells count="3">
    <mergeCell ref="B2:P2"/>
    <mergeCell ref="H5:I5"/>
    <mergeCell ref="G4:N4"/>
  </mergeCells>
  <conditionalFormatting sqref="N6">
    <cfRule type="expression" dxfId="62" priority="132" stopIfTrue="1">
      <formula>$S$6=1</formula>
    </cfRule>
  </conditionalFormatting>
  <conditionalFormatting sqref="N5">
    <cfRule type="expression" dxfId="61" priority="133" stopIfTrue="1">
      <formula>$S$6=2</formula>
    </cfRule>
  </conditionalFormatting>
  <printOptions horizontalCentered="1" verticalCentered="1"/>
  <pageMargins left="0.25" right="0.25" top="0.75" bottom="0.75" header="0.3" footer="0.3"/>
  <pageSetup scale="79" orientation="landscape" horizontalDpi="1200" verticalDpi="1200" r:id="rId1"/>
  <headerFooter>
    <oddFooter>&amp;CAWWA Free Water Audit Software v5.0&amp;R&amp;A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9486" r:id="rId4" name="Option Button 94">
              <controlPr defaultSize="0" autoFill="0" autoLine="0" autoPict="0">
                <anchor moveWithCells="1">
                  <from>
                    <xdr:col>12</xdr:col>
                    <xdr:colOff>85725</xdr:colOff>
                    <xdr:row>4</xdr:row>
                    <xdr:rowOff>9525</xdr:rowOff>
                  </from>
                  <to>
                    <xdr:col>12</xdr:col>
                    <xdr:colOff>285750</xdr:colOff>
                    <xdr:row>5</xdr:row>
                    <xdr:rowOff>38100</xdr:rowOff>
                  </to>
                </anchor>
              </controlPr>
            </control>
          </mc:Choice>
        </mc:AlternateContent>
        <mc:AlternateContent xmlns:mc="http://schemas.openxmlformats.org/markup-compatibility/2006">
          <mc:Choice Requires="x14">
            <control shapeId="1339487" r:id="rId5" name="Option Button 95">
              <controlPr defaultSize="0" autoFill="0" autoLine="0" autoPict="0">
                <anchor moveWithCells="1">
                  <from>
                    <xdr:col>12</xdr:col>
                    <xdr:colOff>85725</xdr:colOff>
                    <xdr:row>5</xdr:row>
                    <xdr:rowOff>9525</xdr:rowOff>
                  </from>
                  <to>
                    <xdr:col>12</xdr:col>
                    <xdr:colOff>285750</xdr:colOff>
                    <xdr:row>6</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79998168889431442"/>
    <pageSetUpPr fitToPage="1"/>
  </sheetPr>
  <dimension ref="A1:U171"/>
  <sheetViews>
    <sheetView showGridLines="0" showRowColHeaders="0" zoomScaleNormal="100" zoomScaleSheetLayoutView="100" workbookViewId="0">
      <pane xSplit="3" ySplit="7" topLeftCell="I8" activePane="bottomRight" state="frozen"/>
      <selection activeCell="J22" sqref="J22:J25"/>
      <selection pane="topRight" activeCell="J22" sqref="J22:J25"/>
      <selection pane="bottomLeft" activeCell="J22" sqref="J22:J25"/>
      <selection pane="bottomRight" activeCell="C2" sqref="C2:N3"/>
    </sheetView>
  </sheetViews>
  <sheetFormatPr defaultColWidth="0" defaultRowHeight="0" customHeight="1" zeroHeight="1"/>
  <cols>
    <col min="1" max="2" width="0.7109375" style="558" customWidth="1"/>
    <col min="3" max="3" width="20.42578125" style="173" customWidth="1"/>
    <col min="4" max="4" width="17.42578125" style="173" customWidth="1"/>
    <col min="5" max="5" width="23.7109375" style="173" customWidth="1"/>
    <col min="6" max="6" width="24.140625" style="173" customWidth="1"/>
    <col min="7" max="7" width="13.7109375" style="173" customWidth="1"/>
    <col min="8" max="8" width="24.28515625" style="173" customWidth="1"/>
    <col min="9" max="9" width="14.7109375" style="173" customWidth="1"/>
    <col min="10" max="10" width="25.28515625" style="173" customWidth="1"/>
    <col min="11" max="11" width="13.5703125" style="173" customWidth="1"/>
    <col min="12" max="12" width="25" style="173" customWidth="1"/>
    <col min="13" max="13" width="15.28515625" style="173" customWidth="1"/>
    <col min="14" max="14" width="26" style="173" customWidth="1"/>
    <col min="15" max="15" width="0.85546875" style="173" customWidth="1"/>
    <col min="16" max="16" width="1.140625" style="211" customWidth="1"/>
    <col min="17" max="17" width="5.85546875" style="519" hidden="1" customWidth="1"/>
    <col min="18" max="18" width="34.7109375" style="519" hidden="1" customWidth="1"/>
    <col min="19" max="16384" width="0" style="519" hidden="1"/>
  </cols>
  <sheetData>
    <row r="1" spans="1:21" ht="4.9000000000000004" customHeight="1" thickBot="1">
      <c r="A1" s="428"/>
      <c r="B1" s="428"/>
      <c r="C1" s="427"/>
      <c r="D1" s="427"/>
      <c r="E1" s="427"/>
      <c r="F1" s="427"/>
      <c r="G1" s="427"/>
      <c r="H1" s="427"/>
      <c r="I1" s="427"/>
      <c r="J1" s="427"/>
      <c r="K1" s="427"/>
      <c r="L1" s="427"/>
      <c r="M1" s="427"/>
      <c r="N1" s="427"/>
      <c r="O1" s="427"/>
      <c r="P1" s="427"/>
    </row>
    <row r="2" spans="1:21" ht="22.9" customHeight="1" thickTop="1">
      <c r="A2" s="428"/>
      <c r="B2" s="606"/>
      <c r="C2" s="891" t="s">
        <v>712</v>
      </c>
      <c r="D2" s="892"/>
      <c r="E2" s="892"/>
      <c r="F2" s="892"/>
      <c r="G2" s="892"/>
      <c r="H2" s="892"/>
      <c r="I2" s="892"/>
      <c r="J2" s="892"/>
      <c r="K2" s="892"/>
      <c r="L2" s="892"/>
      <c r="M2" s="892"/>
      <c r="N2" s="892"/>
      <c r="O2" s="604"/>
      <c r="P2" s="602"/>
      <c r="R2" s="588" t="str">
        <f ca="1">VLOOKUP(1,GradingAssessment!$I$4:$J$23,2,FALSE)&amp;":"</f>
        <v>Volume from own sources:</v>
      </c>
    </row>
    <row r="3" spans="1:21" ht="6" customHeight="1" thickBot="1">
      <c r="A3" s="428"/>
      <c r="B3" s="607"/>
      <c r="C3" s="893"/>
      <c r="D3" s="868"/>
      <c r="E3" s="868"/>
      <c r="F3" s="868"/>
      <c r="G3" s="868"/>
      <c r="H3" s="868"/>
      <c r="I3" s="868"/>
      <c r="J3" s="868"/>
      <c r="K3" s="868"/>
      <c r="L3" s="868"/>
      <c r="M3" s="868"/>
      <c r="N3" s="868"/>
      <c r="O3" s="413"/>
      <c r="P3" s="426"/>
    </row>
    <row r="4" spans="1:21" ht="12.75">
      <c r="A4" s="428"/>
      <c r="B4" s="607"/>
      <c r="C4" s="894" t="s">
        <v>697</v>
      </c>
      <c r="D4" s="894"/>
      <c r="E4" s="894"/>
      <c r="F4" s="894"/>
      <c r="G4" s="894"/>
      <c r="H4" s="894"/>
      <c r="I4" s="894"/>
      <c r="J4" s="894"/>
      <c r="K4" s="894"/>
      <c r="L4" s="894"/>
      <c r="M4" s="894"/>
      <c r="N4" s="894"/>
      <c r="O4" s="413"/>
      <c r="P4" s="426"/>
      <c r="R4" s="589" t="str">
        <f ca="1">VLOOKUP(2,GradingAssessment!$I$4:$J$23,2,FALSE)&amp;":"</f>
        <v>Customer metering inaccuracies:</v>
      </c>
    </row>
    <row r="5" spans="1:21" ht="3.75" customHeight="1" thickBot="1">
      <c r="A5" s="428"/>
      <c r="B5" s="607"/>
      <c r="C5" s="895"/>
      <c r="D5" s="895"/>
      <c r="E5" s="895"/>
      <c r="F5" s="895"/>
      <c r="G5" s="895"/>
      <c r="H5" s="895"/>
      <c r="I5" s="895"/>
      <c r="J5" s="895"/>
      <c r="K5" s="895"/>
      <c r="L5" s="895"/>
      <c r="M5" s="895"/>
      <c r="N5" s="895"/>
      <c r="O5" s="413"/>
      <c r="P5" s="426"/>
    </row>
    <row r="6" spans="1:21" ht="3.6" customHeight="1" thickTop="1" thickBot="1">
      <c r="A6" s="428"/>
      <c r="B6" s="607"/>
      <c r="C6" s="896"/>
      <c r="D6" s="897"/>
      <c r="E6" s="897"/>
      <c r="F6" s="897"/>
      <c r="G6" s="897"/>
      <c r="H6" s="897"/>
      <c r="I6" s="897"/>
      <c r="J6" s="897"/>
      <c r="K6" s="897"/>
      <c r="L6" s="897"/>
      <c r="M6" s="897"/>
      <c r="N6" s="898"/>
      <c r="O6" s="413"/>
      <c r="P6" s="426"/>
      <c r="R6" s="214"/>
    </row>
    <row r="7" spans="1:21" ht="15" customHeight="1" thickBot="1">
      <c r="A7" s="428"/>
      <c r="B7" s="607"/>
      <c r="C7" s="559" t="s">
        <v>694</v>
      </c>
      <c r="D7" s="189" t="s">
        <v>77</v>
      </c>
      <c r="E7" s="190">
        <v>1</v>
      </c>
      <c r="F7" s="190">
        <v>2</v>
      </c>
      <c r="G7" s="190">
        <v>3</v>
      </c>
      <c r="H7" s="190">
        <v>4</v>
      </c>
      <c r="I7" s="190">
        <v>5</v>
      </c>
      <c r="J7" s="190">
        <v>6</v>
      </c>
      <c r="K7" s="190">
        <v>7</v>
      </c>
      <c r="L7" s="190">
        <v>8</v>
      </c>
      <c r="M7" s="190">
        <v>9</v>
      </c>
      <c r="N7" s="190">
        <v>10</v>
      </c>
      <c r="O7" s="413"/>
      <c r="P7" s="426"/>
      <c r="R7" s="590" t="str">
        <f ca="1">VLOOKUP(3,GradingAssessment!$I$4:$J$23,2,FALSE)&amp;":"</f>
        <v>Billed metered:</v>
      </c>
    </row>
    <row r="8" spans="1:21" ht="18" customHeight="1">
      <c r="A8" s="428"/>
      <c r="B8" s="607"/>
      <c r="C8" s="660"/>
      <c r="D8" s="901" t="s">
        <v>295</v>
      </c>
      <c r="E8" s="901"/>
      <c r="F8" s="901"/>
      <c r="G8" s="901"/>
      <c r="H8" s="901"/>
      <c r="I8" s="901"/>
      <c r="J8" s="901"/>
      <c r="K8" s="901"/>
      <c r="L8" s="901"/>
      <c r="M8" s="901"/>
      <c r="N8" s="902"/>
      <c r="O8" s="413"/>
      <c r="P8" s="426"/>
    </row>
    <row r="9" spans="1:21" s="560" customFormat="1" ht="110.45" customHeight="1">
      <c r="A9" s="601"/>
      <c r="B9" s="608"/>
      <c r="C9" s="572" t="s">
        <v>152</v>
      </c>
      <c r="D9" s="573" t="s">
        <v>270</v>
      </c>
      <c r="E9" s="573" t="s">
        <v>716</v>
      </c>
      <c r="F9" s="574" t="s">
        <v>715</v>
      </c>
      <c r="G9" s="575" t="s">
        <v>202</v>
      </c>
      <c r="H9" s="574" t="s">
        <v>714</v>
      </c>
      <c r="I9" s="575" t="s">
        <v>203</v>
      </c>
      <c r="J9" s="574" t="s">
        <v>514</v>
      </c>
      <c r="K9" s="575" t="s">
        <v>204</v>
      </c>
      <c r="L9" s="574" t="s">
        <v>515</v>
      </c>
      <c r="M9" s="575" t="s">
        <v>205</v>
      </c>
      <c r="N9" s="576" t="s">
        <v>725</v>
      </c>
      <c r="O9" s="414"/>
      <c r="P9" s="603"/>
      <c r="Q9" s="591">
        <f>'Reporting Worksheet'!E15</f>
        <v>3</v>
      </c>
      <c r="R9" s="560">
        <f ca="1">IF(OR(C9=$R$2,C9=$R$4,C9=$R$7),1,0)</f>
        <v>1</v>
      </c>
      <c r="U9" s="593"/>
    </row>
    <row r="10" spans="1:21" s="560" customFormat="1" ht="94.9" customHeight="1" thickBot="1">
      <c r="A10" s="601"/>
      <c r="B10" s="608"/>
      <c r="C10" s="581" t="s">
        <v>271</v>
      </c>
      <c r="D10" s="582"/>
      <c r="E10" s="583" t="s">
        <v>516</v>
      </c>
      <c r="F10" s="888" t="s">
        <v>517</v>
      </c>
      <c r="G10" s="890"/>
      <c r="H10" s="888" t="s">
        <v>518</v>
      </c>
      <c r="I10" s="899"/>
      <c r="J10" s="888" t="s">
        <v>519</v>
      </c>
      <c r="K10" s="889"/>
      <c r="L10" s="888" t="s">
        <v>520</v>
      </c>
      <c r="M10" s="889"/>
      <c r="N10" s="584" t="s">
        <v>521</v>
      </c>
      <c r="O10" s="414"/>
      <c r="P10" s="603"/>
      <c r="Q10" s="591">
        <f>Q9</f>
        <v>3</v>
      </c>
    </row>
    <row r="11" spans="1:21" s="560" customFormat="1" ht="162" customHeight="1">
      <c r="A11" s="601"/>
      <c r="B11" s="608"/>
      <c r="C11" s="572" t="s">
        <v>793</v>
      </c>
      <c r="D11" s="573" t="s">
        <v>522</v>
      </c>
      <c r="E11" s="573" t="s">
        <v>523</v>
      </c>
      <c r="F11" s="574" t="s">
        <v>524</v>
      </c>
      <c r="G11" s="575" t="s">
        <v>202</v>
      </c>
      <c r="H11" s="574" t="s">
        <v>525</v>
      </c>
      <c r="I11" s="575" t="s">
        <v>203</v>
      </c>
      <c r="J11" s="574" t="s">
        <v>729</v>
      </c>
      <c r="K11" s="575" t="s">
        <v>204</v>
      </c>
      <c r="L11" s="574" t="s">
        <v>526</v>
      </c>
      <c r="M11" s="575" t="s">
        <v>205</v>
      </c>
      <c r="N11" s="576" t="s">
        <v>527</v>
      </c>
      <c r="O11" s="414"/>
      <c r="P11" s="603"/>
      <c r="Q11" s="591">
        <f>'Reporting Worksheet'!J15</f>
        <v>3</v>
      </c>
      <c r="R11" s="560">
        <f ca="1">IF(OR(C11=$R$2,C11=$R$4,C11=$R$7),1,0)</f>
        <v>0</v>
      </c>
    </row>
    <row r="12" spans="1:21" s="560" customFormat="1" ht="166.15" customHeight="1" thickBot="1">
      <c r="A12" s="601"/>
      <c r="B12" s="608"/>
      <c r="C12" s="581" t="s">
        <v>794</v>
      </c>
      <c r="D12" s="582"/>
      <c r="E12" s="583" t="s">
        <v>528</v>
      </c>
      <c r="F12" s="888" t="s">
        <v>529</v>
      </c>
      <c r="G12" s="890"/>
      <c r="H12" s="888" t="s">
        <v>530</v>
      </c>
      <c r="I12" s="899"/>
      <c r="J12" s="888" t="s">
        <v>531</v>
      </c>
      <c r="K12" s="889"/>
      <c r="L12" s="888" t="s">
        <v>532</v>
      </c>
      <c r="M12" s="889"/>
      <c r="N12" s="584" t="s">
        <v>730</v>
      </c>
      <c r="O12" s="414"/>
      <c r="P12" s="603"/>
      <c r="Q12" s="591">
        <f>Q11</f>
        <v>3</v>
      </c>
    </row>
    <row r="13" spans="1:21" s="560" customFormat="1" ht="103.9" customHeight="1">
      <c r="A13" s="601"/>
      <c r="B13" s="608"/>
      <c r="C13" s="572" t="s">
        <v>106</v>
      </c>
      <c r="D13" s="573" t="s">
        <v>60</v>
      </c>
      <c r="E13" s="573" t="s">
        <v>61</v>
      </c>
      <c r="F13" s="574" t="s">
        <v>62</v>
      </c>
      <c r="G13" s="575" t="s">
        <v>202</v>
      </c>
      <c r="H13" s="574" t="s">
        <v>533</v>
      </c>
      <c r="I13" s="575" t="s">
        <v>203</v>
      </c>
      <c r="J13" s="574" t="s">
        <v>534</v>
      </c>
      <c r="K13" s="575" t="s">
        <v>204</v>
      </c>
      <c r="L13" s="574" t="s">
        <v>535</v>
      </c>
      <c r="M13" s="575" t="s">
        <v>205</v>
      </c>
      <c r="N13" s="576" t="s">
        <v>536</v>
      </c>
      <c r="O13" s="414"/>
      <c r="P13" s="603"/>
      <c r="Q13" s="591">
        <f>'Reporting Worksheet'!E16</f>
        <v>3</v>
      </c>
      <c r="R13" s="560">
        <f ca="1">IF(OR(C13=$R$2,C13=$R$4,C13=$R$7),1,0)</f>
        <v>0</v>
      </c>
    </row>
    <row r="14" spans="1:21" s="560" customFormat="1" ht="222.6" customHeight="1" thickBot="1">
      <c r="A14" s="601"/>
      <c r="B14" s="608"/>
      <c r="C14" s="581" t="s">
        <v>731</v>
      </c>
      <c r="D14" s="582"/>
      <c r="E14" s="583" t="s">
        <v>537</v>
      </c>
      <c r="F14" s="888" t="s">
        <v>538</v>
      </c>
      <c r="G14" s="890"/>
      <c r="H14" s="888" t="s">
        <v>539</v>
      </c>
      <c r="I14" s="899"/>
      <c r="J14" s="888" t="s">
        <v>540</v>
      </c>
      <c r="K14" s="889"/>
      <c r="L14" s="888" t="s">
        <v>541</v>
      </c>
      <c r="M14" s="889"/>
      <c r="N14" s="584" t="s">
        <v>542</v>
      </c>
      <c r="O14" s="414"/>
      <c r="P14" s="603"/>
      <c r="Q14" s="591">
        <f>Q13</f>
        <v>3</v>
      </c>
    </row>
    <row r="15" spans="1:21" s="560" customFormat="1" ht="182.45" customHeight="1">
      <c r="A15" s="601"/>
      <c r="B15" s="608"/>
      <c r="C15" s="572" t="s">
        <v>799</v>
      </c>
      <c r="D15" s="573" t="s">
        <v>732</v>
      </c>
      <c r="E15" s="573" t="s">
        <v>733</v>
      </c>
      <c r="F15" s="574" t="s">
        <v>544</v>
      </c>
      <c r="G15" s="575" t="s">
        <v>202</v>
      </c>
      <c r="H15" s="574" t="s">
        <v>734</v>
      </c>
      <c r="I15" s="575" t="s">
        <v>203</v>
      </c>
      <c r="J15" s="574" t="s">
        <v>735</v>
      </c>
      <c r="K15" s="575" t="s">
        <v>204</v>
      </c>
      <c r="L15" s="574" t="s">
        <v>736</v>
      </c>
      <c r="M15" s="575" t="s">
        <v>205</v>
      </c>
      <c r="N15" s="576" t="s">
        <v>737</v>
      </c>
      <c r="O15" s="414"/>
      <c r="P15" s="603"/>
      <c r="Q15" s="591">
        <f>'Reporting Worksheet'!J16</f>
        <v>5</v>
      </c>
      <c r="R15" s="560">
        <f ca="1">IF(OR(C15=$R$2,C15=$R$4,C15=$R$7),1,0)</f>
        <v>0</v>
      </c>
    </row>
    <row r="16" spans="1:21" s="560" customFormat="1" ht="175.9" customHeight="1" thickBot="1">
      <c r="A16" s="601"/>
      <c r="B16" s="608"/>
      <c r="C16" s="581" t="s">
        <v>801</v>
      </c>
      <c r="D16" s="582"/>
      <c r="E16" s="583" t="s">
        <v>738</v>
      </c>
      <c r="F16" s="888" t="s">
        <v>739</v>
      </c>
      <c r="G16" s="890"/>
      <c r="H16" s="888" t="s">
        <v>545</v>
      </c>
      <c r="I16" s="899"/>
      <c r="J16" s="888" t="s">
        <v>546</v>
      </c>
      <c r="K16" s="889"/>
      <c r="L16" s="888" t="s">
        <v>740</v>
      </c>
      <c r="M16" s="889"/>
      <c r="N16" s="584" t="s">
        <v>741</v>
      </c>
      <c r="O16" s="414"/>
      <c r="P16" s="603"/>
      <c r="Q16" s="591">
        <f>Q15</f>
        <v>5</v>
      </c>
    </row>
    <row r="17" spans="1:19" s="560" customFormat="1" ht="96" customHeight="1">
      <c r="A17" s="601"/>
      <c r="B17" s="608"/>
      <c r="C17" s="572" t="s">
        <v>107</v>
      </c>
      <c r="D17" s="573" t="s">
        <v>63</v>
      </c>
      <c r="E17" s="573" t="s">
        <v>64</v>
      </c>
      <c r="F17" s="574" t="s">
        <v>269</v>
      </c>
      <c r="G17" s="575" t="s">
        <v>202</v>
      </c>
      <c r="H17" s="574" t="s">
        <v>547</v>
      </c>
      <c r="I17" s="575" t="s">
        <v>203</v>
      </c>
      <c r="J17" s="574" t="s">
        <v>323</v>
      </c>
      <c r="K17" s="575" t="s">
        <v>204</v>
      </c>
      <c r="L17" s="574" t="s">
        <v>548</v>
      </c>
      <c r="M17" s="575" t="s">
        <v>205</v>
      </c>
      <c r="N17" s="576" t="s">
        <v>549</v>
      </c>
      <c r="O17" s="414"/>
      <c r="P17" s="603"/>
      <c r="Q17" s="591">
        <f>'Reporting Worksheet'!E17</f>
        <v>3</v>
      </c>
      <c r="R17" s="560">
        <f ca="1">IF(OR(C17=$R$2,C17=$R$4,C17=$R$7),1,0)</f>
        <v>0</v>
      </c>
    </row>
    <row r="18" spans="1:19" s="560" customFormat="1" ht="233.45" customHeight="1" thickBot="1">
      <c r="A18" s="601"/>
      <c r="B18" s="608"/>
      <c r="C18" s="581" t="s">
        <v>742</v>
      </c>
      <c r="D18" s="582"/>
      <c r="E18" s="583" t="s">
        <v>550</v>
      </c>
      <c r="F18" s="888" t="s">
        <v>551</v>
      </c>
      <c r="G18" s="890"/>
      <c r="H18" s="888" t="s">
        <v>552</v>
      </c>
      <c r="I18" s="899"/>
      <c r="J18" s="888" t="s">
        <v>553</v>
      </c>
      <c r="K18" s="889"/>
      <c r="L18" s="888" t="s">
        <v>743</v>
      </c>
      <c r="M18" s="889"/>
      <c r="N18" s="584" t="s">
        <v>521</v>
      </c>
      <c r="O18" s="414"/>
      <c r="P18" s="603"/>
      <c r="Q18" s="591">
        <f>Q17</f>
        <v>3</v>
      </c>
    </row>
    <row r="19" spans="1:19" s="560" customFormat="1" ht="189" customHeight="1">
      <c r="A19" s="601"/>
      <c r="B19" s="608"/>
      <c r="C19" s="572" t="s">
        <v>800</v>
      </c>
      <c r="D19" s="573" t="s">
        <v>555</v>
      </c>
      <c r="E19" s="573" t="s">
        <v>556</v>
      </c>
      <c r="F19" s="574" t="s">
        <v>557</v>
      </c>
      <c r="G19" s="575" t="s">
        <v>202</v>
      </c>
      <c r="H19" s="574" t="s">
        <v>558</v>
      </c>
      <c r="I19" s="575" t="s">
        <v>203</v>
      </c>
      <c r="J19" s="574" t="s">
        <v>559</v>
      </c>
      <c r="K19" s="575" t="s">
        <v>204</v>
      </c>
      <c r="L19" s="574" t="s">
        <v>744</v>
      </c>
      <c r="M19" s="575" t="s">
        <v>205</v>
      </c>
      <c r="N19" s="576" t="s">
        <v>745</v>
      </c>
      <c r="O19" s="414"/>
      <c r="P19" s="603"/>
      <c r="Q19" s="591">
        <f>'Reporting Worksheet'!J17</f>
        <v>5</v>
      </c>
      <c r="R19" s="560">
        <f ca="1">IF(OR(C19=$R$2,C19=$R$4,C19=$R$7),1,0)</f>
        <v>0</v>
      </c>
    </row>
    <row r="20" spans="1:19" s="560" customFormat="1" ht="184.9" customHeight="1" thickBot="1">
      <c r="A20" s="601"/>
      <c r="B20" s="608"/>
      <c r="C20" s="581" t="s">
        <v>798</v>
      </c>
      <c r="D20" s="582"/>
      <c r="E20" s="583" t="s">
        <v>560</v>
      </c>
      <c r="F20" s="888" t="s">
        <v>561</v>
      </c>
      <c r="G20" s="890"/>
      <c r="H20" s="888" t="s">
        <v>562</v>
      </c>
      <c r="I20" s="899"/>
      <c r="J20" s="888" t="s">
        <v>563</v>
      </c>
      <c r="K20" s="889"/>
      <c r="L20" s="888" t="s">
        <v>564</v>
      </c>
      <c r="M20" s="889"/>
      <c r="N20" s="584" t="s">
        <v>565</v>
      </c>
      <c r="O20" s="414"/>
      <c r="P20" s="603"/>
      <c r="Q20" s="591">
        <f>Q19</f>
        <v>5</v>
      </c>
    </row>
    <row r="21" spans="1:19" s="560" customFormat="1" ht="22.5" customHeight="1">
      <c r="A21" s="601"/>
      <c r="B21" s="608"/>
      <c r="C21" s="900" t="s">
        <v>296</v>
      </c>
      <c r="D21" s="901"/>
      <c r="E21" s="901"/>
      <c r="F21" s="901"/>
      <c r="G21" s="901"/>
      <c r="H21" s="901"/>
      <c r="I21" s="901"/>
      <c r="J21" s="901"/>
      <c r="K21" s="901"/>
      <c r="L21" s="901"/>
      <c r="M21" s="901"/>
      <c r="N21" s="902"/>
      <c r="O21" s="414"/>
      <c r="P21" s="603"/>
    </row>
    <row r="22" spans="1:19" s="560" customFormat="1" ht="231" customHeight="1">
      <c r="A22" s="601"/>
      <c r="B22" s="608"/>
      <c r="C22" s="572" t="s">
        <v>153</v>
      </c>
      <c r="D22" s="573" t="s">
        <v>309</v>
      </c>
      <c r="E22" s="573" t="s">
        <v>566</v>
      </c>
      <c r="F22" s="574" t="s">
        <v>810</v>
      </c>
      <c r="G22" s="575" t="s">
        <v>202</v>
      </c>
      <c r="H22" s="574" t="s">
        <v>567</v>
      </c>
      <c r="I22" s="575" t="s">
        <v>203</v>
      </c>
      <c r="J22" s="574" t="s">
        <v>805</v>
      </c>
      <c r="K22" s="575" t="s">
        <v>204</v>
      </c>
      <c r="L22" s="574" t="s">
        <v>790</v>
      </c>
      <c r="M22" s="575" t="s">
        <v>205</v>
      </c>
      <c r="N22" s="576" t="s">
        <v>724</v>
      </c>
      <c r="O22" s="414"/>
      <c r="P22" s="603"/>
      <c r="Q22" s="591">
        <f>'Reporting Worksheet'!E23</f>
        <v>5</v>
      </c>
      <c r="R22" s="560">
        <f ca="1">IF(OR(C22=$R$2,C22=$R$4,C22=$R$7),1,0)</f>
        <v>1</v>
      </c>
    </row>
    <row r="23" spans="1:19" s="560" customFormat="1" ht="217.15" customHeight="1" thickBot="1">
      <c r="A23" s="601"/>
      <c r="B23" s="608"/>
      <c r="C23" s="581" t="s">
        <v>310</v>
      </c>
      <c r="D23" s="585" t="s">
        <v>311</v>
      </c>
      <c r="E23" s="583" t="s">
        <v>568</v>
      </c>
      <c r="F23" s="888" t="s">
        <v>569</v>
      </c>
      <c r="G23" s="890"/>
      <c r="H23" s="888" t="s">
        <v>570</v>
      </c>
      <c r="I23" s="899"/>
      <c r="J23" s="888" t="s">
        <v>571</v>
      </c>
      <c r="K23" s="889"/>
      <c r="L23" s="888" t="s">
        <v>572</v>
      </c>
      <c r="M23" s="889"/>
      <c r="N23" s="584" t="s">
        <v>573</v>
      </c>
      <c r="O23" s="414"/>
      <c r="P23" s="603"/>
      <c r="Q23" s="591">
        <f>Q22</f>
        <v>5</v>
      </c>
    </row>
    <row r="24" spans="1:19" s="560" customFormat="1" ht="214.9" customHeight="1">
      <c r="A24" s="601"/>
      <c r="B24" s="608"/>
      <c r="C24" s="572" t="s">
        <v>154</v>
      </c>
      <c r="D24" s="573" t="s">
        <v>574</v>
      </c>
      <c r="E24" s="573" t="s">
        <v>575</v>
      </c>
      <c r="F24" s="574" t="s">
        <v>576</v>
      </c>
      <c r="G24" s="575" t="s">
        <v>202</v>
      </c>
      <c r="H24" s="574" t="s">
        <v>746</v>
      </c>
      <c r="I24" s="575" t="s">
        <v>203</v>
      </c>
      <c r="J24" s="574" t="s">
        <v>577</v>
      </c>
      <c r="K24" s="575" t="s">
        <v>204</v>
      </c>
      <c r="L24" s="574" t="s">
        <v>578</v>
      </c>
      <c r="M24" s="575" t="s">
        <v>205</v>
      </c>
      <c r="N24" s="576" t="s">
        <v>579</v>
      </c>
      <c r="O24" s="414"/>
      <c r="P24" s="603"/>
      <c r="Q24" s="591" t="str">
        <f>'Reporting Worksheet'!E24</f>
        <v>n/a</v>
      </c>
      <c r="R24" s="560">
        <f ca="1">IF(OR(C24=$R$2,C24=$R$4,C24=$R$7),1,0)</f>
        <v>0</v>
      </c>
      <c r="S24" s="592"/>
    </row>
    <row r="25" spans="1:19" s="560" customFormat="1" ht="170.45" customHeight="1" thickBot="1">
      <c r="A25" s="601"/>
      <c r="B25" s="608"/>
      <c r="C25" s="581" t="s">
        <v>312</v>
      </c>
      <c r="D25" s="582"/>
      <c r="E25" s="583" t="s">
        <v>580</v>
      </c>
      <c r="F25" s="888" t="s">
        <v>581</v>
      </c>
      <c r="G25" s="889"/>
      <c r="H25" s="888" t="s">
        <v>582</v>
      </c>
      <c r="I25" s="889"/>
      <c r="J25" s="888" t="s">
        <v>583</v>
      </c>
      <c r="K25" s="889"/>
      <c r="L25" s="888" t="s">
        <v>584</v>
      </c>
      <c r="M25" s="889"/>
      <c r="N25" s="584" t="s">
        <v>585</v>
      </c>
      <c r="O25" s="414"/>
      <c r="P25" s="603"/>
      <c r="Q25" s="591" t="str">
        <f>Q24</f>
        <v>n/a</v>
      </c>
    </row>
    <row r="26" spans="1:19" s="560" customFormat="1" ht="201.6" customHeight="1">
      <c r="A26" s="601"/>
      <c r="B26" s="608"/>
      <c r="C26" s="572" t="s">
        <v>155</v>
      </c>
      <c r="D26" s="573" t="s">
        <v>144</v>
      </c>
      <c r="E26" s="573" t="s">
        <v>211</v>
      </c>
      <c r="F26" s="574" t="s">
        <v>212</v>
      </c>
      <c r="G26" s="575" t="s">
        <v>202</v>
      </c>
      <c r="H26" s="574" t="s">
        <v>35</v>
      </c>
      <c r="I26" s="575" t="s">
        <v>203</v>
      </c>
      <c r="J26" s="574" t="s">
        <v>267</v>
      </c>
      <c r="K26" s="575" t="s">
        <v>204</v>
      </c>
      <c r="L26" s="574" t="s">
        <v>268</v>
      </c>
      <c r="M26" s="575" t="s">
        <v>205</v>
      </c>
      <c r="N26" s="576" t="s">
        <v>186</v>
      </c>
      <c r="O26" s="414"/>
      <c r="P26" s="603"/>
      <c r="Q26" s="591" t="str">
        <f>'Reporting Worksheet'!E25</f>
        <v>n/a</v>
      </c>
      <c r="R26" s="560">
        <f ca="1">IF(OR(C26=$R$2,C26=$R$4,C26=$R$7),1,0)</f>
        <v>0</v>
      </c>
    </row>
    <row r="27" spans="1:19" s="560" customFormat="1" ht="144.6" customHeight="1" thickBot="1">
      <c r="A27" s="601"/>
      <c r="B27" s="608"/>
      <c r="C27" s="581" t="s">
        <v>747</v>
      </c>
      <c r="D27" s="582"/>
      <c r="E27" s="583" t="s">
        <v>586</v>
      </c>
      <c r="F27" s="888" t="s">
        <v>587</v>
      </c>
      <c r="G27" s="889"/>
      <c r="H27" s="888" t="s">
        <v>588</v>
      </c>
      <c r="I27" s="889"/>
      <c r="J27" s="888" t="s">
        <v>589</v>
      </c>
      <c r="K27" s="889"/>
      <c r="L27" s="888" t="s">
        <v>590</v>
      </c>
      <c r="M27" s="889"/>
      <c r="N27" s="584" t="s">
        <v>591</v>
      </c>
      <c r="O27" s="414"/>
      <c r="P27" s="603"/>
      <c r="Q27" s="591" t="str">
        <f>Q26</f>
        <v>n/a</v>
      </c>
    </row>
    <row r="28" spans="1:19" s="560" customFormat="1" ht="162.6" customHeight="1">
      <c r="A28" s="601"/>
      <c r="B28" s="608"/>
      <c r="C28" s="572" t="s">
        <v>156</v>
      </c>
      <c r="D28" s="577"/>
      <c r="E28" s="573" t="s">
        <v>308</v>
      </c>
      <c r="F28" s="574" t="s">
        <v>313</v>
      </c>
      <c r="G28" s="575" t="s">
        <v>202</v>
      </c>
      <c r="H28" s="574" t="s">
        <v>592</v>
      </c>
      <c r="I28" s="575" t="s">
        <v>145</v>
      </c>
      <c r="J28" s="574" t="s">
        <v>108</v>
      </c>
      <c r="K28" s="575" t="s">
        <v>204</v>
      </c>
      <c r="L28" s="574" t="s">
        <v>593</v>
      </c>
      <c r="M28" s="575" t="s">
        <v>205</v>
      </c>
      <c r="N28" s="576" t="s">
        <v>594</v>
      </c>
      <c r="O28" s="414"/>
      <c r="P28" s="603"/>
      <c r="Q28" s="591">
        <f>'Reporting Worksheet'!E26</f>
        <v>6</v>
      </c>
      <c r="R28" s="560">
        <f ca="1">IF(OR(C28=$R$2,C28=$R$4,C28=$R$7),1,0)</f>
        <v>0</v>
      </c>
    </row>
    <row r="29" spans="1:19" s="560" customFormat="1" ht="196.9" customHeight="1" thickBot="1">
      <c r="A29" s="601"/>
      <c r="B29" s="608"/>
      <c r="C29" s="581" t="s">
        <v>0</v>
      </c>
      <c r="D29" s="582"/>
      <c r="E29" s="583" t="s">
        <v>806</v>
      </c>
      <c r="F29" s="888" t="s">
        <v>595</v>
      </c>
      <c r="G29" s="889"/>
      <c r="H29" s="583" t="s">
        <v>807</v>
      </c>
      <c r="I29" s="583" t="s">
        <v>596</v>
      </c>
      <c r="J29" s="888" t="s">
        <v>597</v>
      </c>
      <c r="K29" s="889"/>
      <c r="L29" s="888" t="s">
        <v>598</v>
      </c>
      <c r="M29" s="889"/>
      <c r="N29" s="584" t="s">
        <v>599</v>
      </c>
      <c r="O29" s="414"/>
      <c r="P29" s="603"/>
      <c r="Q29" s="591">
        <f>Q28</f>
        <v>6</v>
      </c>
    </row>
    <row r="30" spans="1:19" s="560" customFormat="1" ht="22.5" customHeight="1">
      <c r="A30" s="601"/>
      <c r="B30" s="608"/>
      <c r="C30" s="900" t="s">
        <v>282</v>
      </c>
      <c r="D30" s="901"/>
      <c r="E30" s="901"/>
      <c r="F30" s="901"/>
      <c r="G30" s="901"/>
      <c r="H30" s="901"/>
      <c r="I30" s="901"/>
      <c r="J30" s="901"/>
      <c r="K30" s="901"/>
      <c r="L30" s="901"/>
      <c r="M30" s="901"/>
      <c r="N30" s="902"/>
      <c r="O30" s="414"/>
      <c r="P30" s="603"/>
    </row>
    <row r="31" spans="1:19" s="560" customFormat="1" ht="141.6" customHeight="1">
      <c r="A31" s="601"/>
      <c r="B31" s="608"/>
      <c r="C31" s="572" t="s">
        <v>157</v>
      </c>
      <c r="D31" s="578"/>
      <c r="E31" s="573" t="s">
        <v>27</v>
      </c>
      <c r="F31" s="574" t="s">
        <v>53</v>
      </c>
      <c r="G31" s="575" t="s">
        <v>54</v>
      </c>
      <c r="H31" s="574" t="s">
        <v>600</v>
      </c>
      <c r="I31" s="575" t="s">
        <v>601</v>
      </c>
      <c r="J31" s="574" t="s">
        <v>602</v>
      </c>
      <c r="K31" s="575" t="s">
        <v>204</v>
      </c>
      <c r="L31" s="574" t="s">
        <v>603</v>
      </c>
      <c r="M31" s="575" t="s">
        <v>205</v>
      </c>
      <c r="N31" s="576" t="s">
        <v>748</v>
      </c>
      <c r="O31" s="414"/>
      <c r="P31" s="603"/>
      <c r="Q31" s="591">
        <f>'Reporting Worksheet'!E38</f>
        <v>0</v>
      </c>
      <c r="R31" s="560">
        <f ca="1">IF(OR(C31=$R$2,C31=$R$4,C31=$R$7),1,0)</f>
        <v>0</v>
      </c>
    </row>
    <row r="32" spans="1:19" s="560" customFormat="1" ht="238.15" customHeight="1" thickBot="1">
      <c r="A32" s="601"/>
      <c r="B32" s="608"/>
      <c r="C32" s="581" t="s">
        <v>1</v>
      </c>
      <c r="D32" s="586"/>
      <c r="E32" s="583" t="s">
        <v>604</v>
      </c>
      <c r="F32" s="888" t="s">
        <v>605</v>
      </c>
      <c r="G32" s="889"/>
      <c r="H32" s="583" t="s">
        <v>606</v>
      </c>
      <c r="I32" s="583" t="s">
        <v>607</v>
      </c>
      <c r="J32" s="888" t="s">
        <v>608</v>
      </c>
      <c r="K32" s="889"/>
      <c r="L32" s="888" t="s">
        <v>609</v>
      </c>
      <c r="M32" s="889"/>
      <c r="N32" s="584" t="s">
        <v>610</v>
      </c>
      <c r="O32" s="414"/>
      <c r="P32" s="603"/>
      <c r="Q32" s="591">
        <f>Q31</f>
        <v>0</v>
      </c>
    </row>
    <row r="33" spans="1:18" s="560" customFormat="1" ht="234.6" customHeight="1">
      <c r="A33" s="601"/>
      <c r="B33" s="608"/>
      <c r="C33" s="572" t="s">
        <v>158</v>
      </c>
      <c r="D33" s="573" t="s">
        <v>75</v>
      </c>
      <c r="E33" s="573" t="s">
        <v>611</v>
      </c>
      <c r="F33" s="574" t="s">
        <v>612</v>
      </c>
      <c r="G33" s="575" t="s">
        <v>202</v>
      </c>
      <c r="H33" s="574" t="s">
        <v>613</v>
      </c>
      <c r="I33" s="575" t="s">
        <v>203</v>
      </c>
      <c r="J33" s="574" t="s">
        <v>614</v>
      </c>
      <c r="K33" s="575" t="s">
        <v>204</v>
      </c>
      <c r="L33" s="574" t="s">
        <v>615</v>
      </c>
      <c r="M33" s="575" t="s">
        <v>616</v>
      </c>
      <c r="N33" s="576" t="s">
        <v>726</v>
      </c>
      <c r="O33" s="414"/>
      <c r="P33" s="603"/>
      <c r="Q33" s="591">
        <f>'Reporting Worksheet'!E42</f>
        <v>3</v>
      </c>
      <c r="R33" s="560">
        <f ca="1">IF(OR(C33=$R$2,C33=$R$4,C33=$R$7),1,0)</f>
        <v>1</v>
      </c>
    </row>
    <row r="34" spans="1:18" s="560" customFormat="1" ht="186.6" customHeight="1" thickBot="1">
      <c r="A34" s="601"/>
      <c r="B34" s="608"/>
      <c r="C34" s="581" t="s">
        <v>188</v>
      </c>
      <c r="D34" s="585" t="s">
        <v>311</v>
      </c>
      <c r="E34" s="583" t="s">
        <v>617</v>
      </c>
      <c r="F34" s="888" t="s">
        <v>618</v>
      </c>
      <c r="G34" s="889"/>
      <c r="H34" s="888" t="s">
        <v>619</v>
      </c>
      <c r="I34" s="889"/>
      <c r="J34" s="888" t="s">
        <v>620</v>
      </c>
      <c r="K34" s="889"/>
      <c r="L34" s="587" t="s">
        <v>621</v>
      </c>
      <c r="M34" s="587" t="s">
        <v>622</v>
      </c>
      <c r="N34" s="584" t="s">
        <v>623</v>
      </c>
      <c r="O34" s="414"/>
      <c r="P34" s="603"/>
      <c r="Q34" s="591">
        <f>Q33</f>
        <v>3</v>
      </c>
    </row>
    <row r="35" spans="1:18" s="560" customFormat="1" ht="192.6" customHeight="1">
      <c r="A35" s="601"/>
      <c r="B35" s="608"/>
      <c r="C35" s="572" t="s">
        <v>696</v>
      </c>
      <c r="D35" s="573" t="s">
        <v>76</v>
      </c>
      <c r="E35" s="573" t="s">
        <v>624</v>
      </c>
      <c r="F35" s="574" t="s">
        <v>625</v>
      </c>
      <c r="G35" s="575" t="s">
        <v>202</v>
      </c>
      <c r="H35" s="574" t="s">
        <v>626</v>
      </c>
      <c r="I35" s="575" t="s">
        <v>203</v>
      </c>
      <c r="J35" s="574" t="s">
        <v>627</v>
      </c>
      <c r="K35" s="575" t="s">
        <v>204</v>
      </c>
      <c r="L35" s="574" t="s">
        <v>628</v>
      </c>
      <c r="M35" s="575" t="s">
        <v>205</v>
      </c>
      <c r="N35" s="576" t="s">
        <v>629</v>
      </c>
      <c r="O35" s="414"/>
      <c r="P35" s="603"/>
      <c r="Q35" s="591">
        <f>'Reporting Worksheet'!E43</f>
        <v>5</v>
      </c>
      <c r="R35" s="560">
        <f ca="1">IF(OR(C35=$R$2,C35=$R$4,C35=$R$7),1,0)</f>
        <v>0</v>
      </c>
    </row>
    <row r="36" spans="1:18" s="560" customFormat="1" ht="139.9" customHeight="1" thickBot="1">
      <c r="A36" s="601"/>
      <c r="B36" s="608"/>
      <c r="C36" s="581" t="s">
        <v>189</v>
      </c>
      <c r="D36" s="582"/>
      <c r="E36" s="583" t="s">
        <v>630</v>
      </c>
      <c r="F36" s="888" t="s">
        <v>808</v>
      </c>
      <c r="G36" s="889"/>
      <c r="H36" s="888" t="s">
        <v>631</v>
      </c>
      <c r="I36" s="889"/>
      <c r="J36" s="888" t="s">
        <v>632</v>
      </c>
      <c r="K36" s="889"/>
      <c r="L36" s="888" t="s">
        <v>633</v>
      </c>
      <c r="M36" s="889"/>
      <c r="N36" s="584" t="s">
        <v>634</v>
      </c>
      <c r="O36" s="414"/>
      <c r="P36" s="603"/>
      <c r="Q36" s="591">
        <f>Q35</f>
        <v>5</v>
      </c>
    </row>
    <row r="37" spans="1:18" s="560" customFormat="1" ht="18" customHeight="1">
      <c r="A37" s="601"/>
      <c r="B37" s="608"/>
      <c r="C37" s="900" t="s">
        <v>195</v>
      </c>
      <c r="D37" s="901"/>
      <c r="E37" s="901"/>
      <c r="F37" s="901"/>
      <c r="G37" s="901"/>
      <c r="H37" s="901"/>
      <c r="I37" s="901"/>
      <c r="J37" s="901"/>
      <c r="K37" s="901"/>
      <c r="L37" s="901"/>
      <c r="M37" s="901"/>
      <c r="N37" s="902"/>
      <c r="O37" s="414"/>
      <c r="P37" s="603"/>
    </row>
    <row r="38" spans="1:18" s="560" customFormat="1" ht="115.9" customHeight="1">
      <c r="A38" s="601"/>
      <c r="B38" s="608"/>
      <c r="C38" s="572" t="s">
        <v>159</v>
      </c>
      <c r="D38" s="577"/>
      <c r="E38" s="573" t="s">
        <v>109</v>
      </c>
      <c r="F38" s="574" t="s">
        <v>635</v>
      </c>
      <c r="G38" s="575" t="s">
        <v>202</v>
      </c>
      <c r="H38" s="574" t="s">
        <v>636</v>
      </c>
      <c r="I38" s="575" t="s">
        <v>203</v>
      </c>
      <c r="J38" s="574" t="s">
        <v>637</v>
      </c>
      <c r="K38" s="575" t="s">
        <v>204</v>
      </c>
      <c r="L38" s="574" t="s">
        <v>638</v>
      </c>
      <c r="M38" s="575" t="s">
        <v>205</v>
      </c>
      <c r="N38" s="576" t="s">
        <v>639</v>
      </c>
      <c r="O38" s="414"/>
      <c r="P38" s="603"/>
      <c r="Q38" s="591">
        <f>'Reporting Worksheet'!E62</f>
        <v>8</v>
      </c>
      <c r="R38" s="560">
        <f ca="1">IF(OR(C38=$R$2,C38=$R$4,C38=$R$7),1,0)</f>
        <v>0</v>
      </c>
    </row>
    <row r="39" spans="1:18" s="560" customFormat="1" ht="175.15" customHeight="1" thickBot="1">
      <c r="A39" s="601"/>
      <c r="B39" s="608"/>
      <c r="C39" s="581" t="s">
        <v>190</v>
      </c>
      <c r="D39" s="582"/>
      <c r="E39" s="583" t="s">
        <v>640</v>
      </c>
      <c r="F39" s="888" t="s">
        <v>641</v>
      </c>
      <c r="G39" s="889"/>
      <c r="H39" s="914" t="s">
        <v>691</v>
      </c>
      <c r="I39" s="915"/>
      <c r="J39" s="888" t="s">
        <v>642</v>
      </c>
      <c r="K39" s="889"/>
      <c r="L39" s="888" t="s">
        <v>643</v>
      </c>
      <c r="M39" s="889"/>
      <c r="N39" s="584" t="s">
        <v>644</v>
      </c>
      <c r="O39" s="414"/>
      <c r="P39" s="603"/>
      <c r="Q39" s="591">
        <f>Q38</f>
        <v>8</v>
      </c>
    </row>
    <row r="40" spans="1:18" s="560" customFormat="1" ht="153" customHeight="1">
      <c r="A40" s="601"/>
      <c r="B40" s="608"/>
      <c r="C40" s="572" t="s">
        <v>149</v>
      </c>
      <c r="D40" s="577"/>
      <c r="E40" s="573" t="s">
        <v>217</v>
      </c>
      <c r="F40" s="574" t="s">
        <v>218</v>
      </c>
      <c r="G40" s="575" t="s">
        <v>202</v>
      </c>
      <c r="H40" s="574" t="s">
        <v>645</v>
      </c>
      <c r="I40" s="575" t="s">
        <v>203</v>
      </c>
      <c r="J40" s="574" t="s">
        <v>749</v>
      </c>
      <c r="K40" s="575" t="s">
        <v>204</v>
      </c>
      <c r="L40" s="574" t="s">
        <v>646</v>
      </c>
      <c r="M40" s="575" t="s">
        <v>205</v>
      </c>
      <c r="N40" s="576" t="s">
        <v>647</v>
      </c>
      <c r="O40" s="414"/>
      <c r="P40" s="603"/>
      <c r="Q40" s="591">
        <f>'Reporting Worksheet'!E63</f>
        <v>9</v>
      </c>
      <c r="R40" s="560">
        <f ca="1">IF(OR(C40=$R$2,C40=$R$4,C40=$R$7),1,0)</f>
        <v>0</v>
      </c>
    </row>
    <row r="41" spans="1:18" s="560" customFormat="1" ht="115.15" customHeight="1" thickBot="1">
      <c r="A41" s="601"/>
      <c r="B41" s="608"/>
      <c r="C41" s="581" t="s">
        <v>750</v>
      </c>
      <c r="D41" s="656" t="s">
        <v>695</v>
      </c>
      <c r="E41" s="583" t="s">
        <v>648</v>
      </c>
      <c r="F41" s="888" t="s">
        <v>649</v>
      </c>
      <c r="G41" s="889"/>
      <c r="H41" s="888" t="s">
        <v>650</v>
      </c>
      <c r="I41" s="889"/>
      <c r="J41" s="888" t="s">
        <v>651</v>
      </c>
      <c r="K41" s="889"/>
      <c r="L41" s="888" t="s">
        <v>652</v>
      </c>
      <c r="M41" s="889"/>
      <c r="N41" s="584" t="s">
        <v>653</v>
      </c>
      <c r="O41" s="414"/>
      <c r="P41" s="603"/>
      <c r="Q41" s="591">
        <f>Q40</f>
        <v>9</v>
      </c>
    </row>
    <row r="42" spans="1:18" s="560" customFormat="1" ht="42.6" customHeight="1">
      <c r="A42" s="601"/>
      <c r="B42" s="608"/>
      <c r="C42" s="903" t="s">
        <v>250</v>
      </c>
      <c r="D42" s="905" t="s">
        <v>751</v>
      </c>
      <c r="E42" s="907" t="s">
        <v>756</v>
      </c>
      <c r="F42" s="908"/>
      <c r="G42" s="908"/>
      <c r="H42" s="908"/>
      <c r="I42" s="908"/>
      <c r="J42" s="908"/>
      <c r="K42" s="908"/>
      <c r="L42" s="908"/>
      <c r="M42" s="909"/>
      <c r="N42" s="912" t="s">
        <v>755</v>
      </c>
      <c r="O42" s="414"/>
      <c r="P42" s="603"/>
      <c r="Q42" s="591">
        <f>Q43</f>
        <v>10</v>
      </c>
      <c r="R42" s="560">
        <f ca="1">IF(OR(C42=$R$2,C42=$R$4,C42=$R$7),1,0)</f>
        <v>0</v>
      </c>
    </row>
    <row r="43" spans="1:18" s="560" customFormat="1" ht="247.9" customHeight="1">
      <c r="A43" s="601"/>
      <c r="B43" s="608"/>
      <c r="C43" s="904"/>
      <c r="D43" s="906"/>
      <c r="E43" s="573" t="s">
        <v>752</v>
      </c>
      <c r="F43" s="574" t="s">
        <v>753</v>
      </c>
      <c r="G43" s="575" t="s">
        <v>202</v>
      </c>
      <c r="H43" s="574" t="s">
        <v>757</v>
      </c>
      <c r="I43" s="575" t="s">
        <v>203</v>
      </c>
      <c r="J43" s="574" t="s">
        <v>654</v>
      </c>
      <c r="K43" s="575" t="s">
        <v>204</v>
      </c>
      <c r="L43" s="574" t="s">
        <v>754</v>
      </c>
      <c r="M43" s="575" t="s">
        <v>205</v>
      </c>
      <c r="N43" s="913"/>
      <c r="O43" s="414"/>
      <c r="P43" s="603"/>
      <c r="Q43" s="591">
        <f>'Reporting Worksheet'!R67</f>
        <v>10</v>
      </c>
      <c r="R43" s="560">
        <f ca="1">IF(OR(C43=$R$2,C43=$R$4,C43=$R$7),1,0)</f>
        <v>0</v>
      </c>
    </row>
    <row r="44" spans="1:18" s="560" customFormat="1" ht="113.25" customHeight="1" thickBot="1">
      <c r="A44" s="601"/>
      <c r="B44" s="608"/>
      <c r="C44" s="581" t="s">
        <v>191</v>
      </c>
      <c r="D44" s="582"/>
      <c r="E44" s="583" t="s">
        <v>758</v>
      </c>
      <c r="F44" s="888" t="s">
        <v>655</v>
      </c>
      <c r="G44" s="889"/>
      <c r="H44" s="888" t="s">
        <v>759</v>
      </c>
      <c r="I44" s="889"/>
      <c r="J44" s="888" t="s">
        <v>656</v>
      </c>
      <c r="K44" s="889"/>
      <c r="L44" s="888" t="s">
        <v>657</v>
      </c>
      <c r="M44" s="889"/>
      <c r="N44" s="584" t="s">
        <v>658</v>
      </c>
      <c r="O44" s="414"/>
      <c r="P44" s="603"/>
      <c r="Q44" s="591">
        <f>Q43</f>
        <v>10</v>
      </c>
    </row>
    <row r="45" spans="1:18" s="560" customFormat="1" ht="208.9" customHeight="1">
      <c r="A45" s="601"/>
      <c r="B45" s="608"/>
      <c r="C45" s="572" t="s">
        <v>160</v>
      </c>
      <c r="D45" s="579"/>
      <c r="E45" s="573" t="s">
        <v>55</v>
      </c>
      <c r="F45" s="574" t="s">
        <v>659</v>
      </c>
      <c r="G45" s="575" t="s">
        <v>202</v>
      </c>
      <c r="H45" s="574" t="s">
        <v>82</v>
      </c>
      <c r="I45" s="575" t="s">
        <v>203</v>
      </c>
      <c r="J45" s="574" t="s">
        <v>660</v>
      </c>
      <c r="K45" s="575" t="s">
        <v>204</v>
      </c>
      <c r="L45" s="574" t="s">
        <v>661</v>
      </c>
      <c r="M45" s="575" t="s">
        <v>205</v>
      </c>
      <c r="N45" s="576" t="s">
        <v>662</v>
      </c>
      <c r="O45" s="414"/>
      <c r="P45" s="603"/>
      <c r="Q45" s="591">
        <f>'Reporting Worksheet'!E69</f>
        <v>5</v>
      </c>
      <c r="R45" s="560">
        <f ca="1">IF(OR(C45=$R$2,C45=$R$4,C45=$R$7),1,0)</f>
        <v>0</v>
      </c>
    </row>
    <row r="46" spans="1:18" s="560" customFormat="1" ht="144.6" customHeight="1" thickBot="1">
      <c r="A46" s="601"/>
      <c r="B46" s="608"/>
      <c r="C46" s="581" t="s">
        <v>285</v>
      </c>
      <c r="D46" s="594"/>
      <c r="E46" s="583" t="s">
        <v>663</v>
      </c>
      <c r="F46" s="910" t="s">
        <v>664</v>
      </c>
      <c r="G46" s="911"/>
      <c r="H46" s="910" t="s">
        <v>665</v>
      </c>
      <c r="I46" s="911"/>
      <c r="J46" s="910" t="s">
        <v>666</v>
      </c>
      <c r="K46" s="911"/>
      <c r="L46" s="910" t="s">
        <v>667</v>
      </c>
      <c r="M46" s="911"/>
      <c r="N46" s="584" t="s">
        <v>668</v>
      </c>
      <c r="O46" s="414"/>
      <c r="P46" s="603"/>
      <c r="Q46" s="591">
        <f>Q45</f>
        <v>5</v>
      </c>
    </row>
    <row r="47" spans="1:18" s="560" customFormat="1" ht="23.25" customHeight="1">
      <c r="A47" s="601"/>
      <c r="B47" s="608"/>
      <c r="C47" s="900" t="s">
        <v>83</v>
      </c>
      <c r="D47" s="901"/>
      <c r="E47" s="901"/>
      <c r="F47" s="901"/>
      <c r="G47" s="901"/>
      <c r="H47" s="901"/>
      <c r="I47" s="901"/>
      <c r="J47" s="901"/>
      <c r="K47" s="901"/>
      <c r="L47" s="901"/>
      <c r="M47" s="901"/>
      <c r="N47" s="902"/>
      <c r="O47" s="414"/>
      <c r="P47" s="603"/>
    </row>
    <row r="48" spans="1:18" s="560" customFormat="1" ht="101.45" customHeight="1">
      <c r="A48" s="601"/>
      <c r="B48" s="608"/>
      <c r="C48" s="572" t="s">
        <v>161</v>
      </c>
      <c r="D48" s="579"/>
      <c r="E48" s="573" t="s">
        <v>669</v>
      </c>
      <c r="F48" s="574" t="s">
        <v>288</v>
      </c>
      <c r="G48" s="575" t="s">
        <v>202</v>
      </c>
      <c r="H48" s="574" t="s">
        <v>670</v>
      </c>
      <c r="I48" s="575" t="s">
        <v>203</v>
      </c>
      <c r="J48" s="574" t="s">
        <v>671</v>
      </c>
      <c r="K48" s="575" t="s">
        <v>204</v>
      </c>
      <c r="L48" s="574" t="s">
        <v>672</v>
      </c>
      <c r="M48" s="575" t="s">
        <v>205</v>
      </c>
      <c r="N48" s="576" t="s">
        <v>673</v>
      </c>
      <c r="O48" s="414"/>
      <c r="P48" s="603"/>
      <c r="Q48" s="591">
        <f>'Reporting Worksheet'!E76</f>
        <v>10</v>
      </c>
      <c r="R48" s="560">
        <f ca="1">IF(OR(C48=$R$2,C48=$R$4,C48=$R$7),1,0)</f>
        <v>0</v>
      </c>
    </row>
    <row r="49" spans="1:18" s="560" customFormat="1" ht="90.6" customHeight="1" thickBot="1">
      <c r="A49" s="601"/>
      <c r="B49" s="608"/>
      <c r="C49" s="581" t="s">
        <v>314</v>
      </c>
      <c r="D49" s="582"/>
      <c r="E49" s="583" t="s">
        <v>674</v>
      </c>
      <c r="F49" s="888" t="s">
        <v>675</v>
      </c>
      <c r="G49" s="889"/>
      <c r="H49" s="888" t="s">
        <v>676</v>
      </c>
      <c r="I49" s="889"/>
      <c r="J49" s="888" t="s">
        <v>677</v>
      </c>
      <c r="K49" s="889"/>
      <c r="L49" s="888" t="s">
        <v>678</v>
      </c>
      <c r="M49" s="889"/>
      <c r="N49" s="584" t="s">
        <v>679</v>
      </c>
      <c r="O49" s="414"/>
      <c r="P49" s="603"/>
      <c r="Q49" s="591">
        <f>Q48</f>
        <v>10</v>
      </c>
    </row>
    <row r="50" spans="1:18" s="560" customFormat="1" ht="151.15" customHeight="1">
      <c r="A50" s="601"/>
      <c r="B50" s="608"/>
      <c r="C50" s="572" t="s">
        <v>150</v>
      </c>
      <c r="D50" s="730" t="s">
        <v>717</v>
      </c>
      <c r="E50" s="573" t="s">
        <v>760</v>
      </c>
      <c r="F50" s="574" t="s">
        <v>170</v>
      </c>
      <c r="G50" s="575" t="s">
        <v>202</v>
      </c>
      <c r="H50" s="574" t="s">
        <v>171</v>
      </c>
      <c r="I50" s="575" t="s">
        <v>718</v>
      </c>
      <c r="J50" s="574" t="s">
        <v>134</v>
      </c>
      <c r="K50" s="575" t="s">
        <v>204</v>
      </c>
      <c r="L50" s="574" t="s">
        <v>680</v>
      </c>
      <c r="M50" s="575" t="s">
        <v>205</v>
      </c>
      <c r="N50" s="576" t="s">
        <v>719</v>
      </c>
      <c r="O50" s="414"/>
      <c r="P50" s="603"/>
      <c r="Q50" s="591">
        <f>'Reporting Worksheet'!E77</f>
        <v>9</v>
      </c>
      <c r="R50" s="560">
        <f ca="1">IF(OR(C50=$R$2,C50=$R$4,C50=$R$7),1,0)</f>
        <v>0</v>
      </c>
    </row>
    <row r="51" spans="1:18" s="560" customFormat="1" ht="104.45" customHeight="1" thickBot="1">
      <c r="A51" s="601"/>
      <c r="B51" s="608"/>
      <c r="C51" s="581" t="s">
        <v>99</v>
      </c>
      <c r="D51" s="582"/>
      <c r="E51" s="583" t="s">
        <v>681</v>
      </c>
      <c r="F51" s="888" t="s">
        <v>682</v>
      </c>
      <c r="G51" s="889"/>
      <c r="H51" s="583" t="s">
        <v>683</v>
      </c>
      <c r="I51" s="583" t="s">
        <v>684</v>
      </c>
      <c r="J51" s="888" t="s">
        <v>685</v>
      </c>
      <c r="K51" s="889"/>
      <c r="L51" s="888" t="s">
        <v>686</v>
      </c>
      <c r="M51" s="889"/>
      <c r="N51" s="584" t="s">
        <v>687</v>
      </c>
      <c r="O51" s="414"/>
      <c r="P51" s="603"/>
      <c r="Q51" s="591">
        <f>Q50</f>
        <v>9</v>
      </c>
    </row>
    <row r="52" spans="1:18" s="560" customFormat="1" ht="175.5" customHeight="1">
      <c r="A52" s="601"/>
      <c r="B52" s="608"/>
      <c r="C52" s="572" t="s">
        <v>151</v>
      </c>
      <c r="D52" s="580" t="s">
        <v>187</v>
      </c>
      <c r="E52" s="573" t="s">
        <v>143</v>
      </c>
      <c r="F52" s="574" t="s">
        <v>315</v>
      </c>
      <c r="G52" s="575" t="s">
        <v>202</v>
      </c>
      <c r="H52" s="574" t="s">
        <v>720</v>
      </c>
      <c r="I52" s="575" t="s">
        <v>203</v>
      </c>
      <c r="J52" s="574" t="s">
        <v>721</v>
      </c>
      <c r="K52" s="575" t="s">
        <v>204</v>
      </c>
      <c r="L52" s="574" t="s">
        <v>722</v>
      </c>
      <c r="M52" s="575" t="s">
        <v>205</v>
      </c>
      <c r="N52" s="576" t="s">
        <v>723</v>
      </c>
      <c r="O52" s="414"/>
      <c r="P52" s="603"/>
      <c r="Q52" s="591">
        <f>'Reporting Worksheet'!E78</f>
        <v>5</v>
      </c>
      <c r="R52" s="560">
        <f ca="1">IF(OR(C52=$R$2,C52=$R$4,C52=$R$7),1,0)</f>
        <v>0</v>
      </c>
    </row>
    <row r="53" spans="1:18" s="560" customFormat="1" ht="93" customHeight="1" thickBot="1">
      <c r="A53" s="601"/>
      <c r="B53" s="608"/>
      <c r="C53" s="581" t="s">
        <v>209</v>
      </c>
      <c r="D53" s="582"/>
      <c r="E53" s="583" t="s">
        <v>688</v>
      </c>
      <c r="F53" s="888" t="s">
        <v>675</v>
      </c>
      <c r="G53" s="889"/>
      <c r="H53" s="888" t="s">
        <v>689</v>
      </c>
      <c r="I53" s="889"/>
      <c r="J53" s="888" t="s">
        <v>809</v>
      </c>
      <c r="K53" s="889"/>
      <c r="L53" s="888" t="s">
        <v>678</v>
      </c>
      <c r="M53" s="889"/>
      <c r="N53" s="584" t="s">
        <v>690</v>
      </c>
      <c r="O53" s="414"/>
      <c r="P53" s="603"/>
      <c r="Q53" s="591">
        <f>Q52</f>
        <v>5</v>
      </c>
    </row>
    <row r="54" spans="1:18" ht="6" customHeight="1" thickBot="1">
      <c r="A54" s="428"/>
      <c r="B54" s="605"/>
      <c r="C54" s="423"/>
      <c r="D54" s="423"/>
      <c r="E54" s="423"/>
      <c r="F54" s="423"/>
      <c r="G54" s="423"/>
      <c r="H54" s="423"/>
      <c r="I54" s="423"/>
      <c r="J54" s="423"/>
      <c r="K54" s="423"/>
      <c r="L54" s="423"/>
      <c r="M54" s="423"/>
      <c r="N54" s="423"/>
      <c r="O54" s="424"/>
      <c r="P54" s="426"/>
    </row>
    <row r="55" spans="1:18" s="427" customFormat="1" ht="6" customHeight="1" thickTop="1">
      <c r="A55" s="428"/>
      <c r="B55" s="428"/>
    </row>
    <row r="56" spans="1:18" ht="12.75" hidden="1"/>
    <row r="57" spans="1:18" ht="12.75" hidden="1"/>
    <row r="58" spans="1:18" ht="12.75" hidden="1"/>
    <row r="59" spans="1:18" ht="12.75" hidden="1"/>
    <row r="60" spans="1:18" ht="12.75" hidden="1"/>
    <row r="61" spans="1:18" ht="12.75" hidden="1"/>
    <row r="62" spans="1:18" ht="12.75" hidden="1"/>
    <row r="63" spans="1:18" ht="12.75" hidden="1"/>
    <row r="64" spans="1:18"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sheetData>
  <sheetProtection password="8B16" sheet="1" objects="1" scenarios="1"/>
  <mergeCells count="88">
    <mergeCell ref="H53:I53"/>
    <mergeCell ref="J53:K53"/>
    <mergeCell ref="L53:M53"/>
    <mergeCell ref="F46:G46"/>
    <mergeCell ref="H46:I46"/>
    <mergeCell ref="F53:G53"/>
    <mergeCell ref="F51:G51"/>
    <mergeCell ref="J51:K51"/>
    <mergeCell ref="J46:K46"/>
    <mergeCell ref="L46:M46"/>
    <mergeCell ref="L51:M51"/>
    <mergeCell ref="F49:G49"/>
    <mergeCell ref="L49:M49"/>
    <mergeCell ref="C47:N47"/>
    <mergeCell ref="H49:I49"/>
    <mergeCell ref="J49:K49"/>
    <mergeCell ref="H44:I44"/>
    <mergeCell ref="L41:M41"/>
    <mergeCell ref="F41:G41"/>
    <mergeCell ref="H41:I41"/>
    <mergeCell ref="F39:G39"/>
    <mergeCell ref="F44:G44"/>
    <mergeCell ref="L44:M44"/>
    <mergeCell ref="J44:K44"/>
    <mergeCell ref="J39:K39"/>
    <mergeCell ref="L39:M39"/>
    <mergeCell ref="H39:I39"/>
    <mergeCell ref="C42:C43"/>
    <mergeCell ref="D42:D43"/>
    <mergeCell ref="L27:M27"/>
    <mergeCell ref="F25:G25"/>
    <mergeCell ref="H25:I25"/>
    <mergeCell ref="F36:G36"/>
    <mergeCell ref="H36:I36"/>
    <mergeCell ref="J36:K36"/>
    <mergeCell ref="E42:M42"/>
    <mergeCell ref="J41:K41"/>
    <mergeCell ref="C37:N37"/>
    <mergeCell ref="N42:N43"/>
    <mergeCell ref="H34:I34"/>
    <mergeCell ref="J34:K34"/>
    <mergeCell ref="L36:M36"/>
    <mergeCell ref="F32:G32"/>
    <mergeCell ref="F34:G34"/>
    <mergeCell ref="F27:G27"/>
    <mergeCell ref="H27:I27"/>
    <mergeCell ref="L29:M29"/>
    <mergeCell ref="J32:K32"/>
    <mergeCell ref="L32:M32"/>
    <mergeCell ref="F16:G16"/>
    <mergeCell ref="H16:I16"/>
    <mergeCell ref="J16:K16"/>
    <mergeCell ref="J29:K29"/>
    <mergeCell ref="H18:I18"/>
    <mergeCell ref="J18:K18"/>
    <mergeCell ref="L18:M18"/>
    <mergeCell ref="F29:G29"/>
    <mergeCell ref="F23:G23"/>
    <mergeCell ref="H23:I23"/>
    <mergeCell ref="L23:M23"/>
    <mergeCell ref="F20:G20"/>
    <mergeCell ref="J27:K27"/>
    <mergeCell ref="C30:N30"/>
    <mergeCell ref="C2:N3"/>
    <mergeCell ref="C4:N5"/>
    <mergeCell ref="C6:N6"/>
    <mergeCell ref="H12:I12"/>
    <mergeCell ref="J12:K12"/>
    <mergeCell ref="L12:M12"/>
    <mergeCell ref="H10:I10"/>
    <mergeCell ref="J10:K10"/>
    <mergeCell ref="L10:M10"/>
    <mergeCell ref="F12:G12"/>
    <mergeCell ref="D8:N8"/>
    <mergeCell ref="J25:K25"/>
    <mergeCell ref="L25:M25"/>
    <mergeCell ref="J14:K14"/>
    <mergeCell ref="J23:K23"/>
    <mergeCell ref="F10:G10"/>
    <mergeCell ref="F14:G14"/>
    <mergeCell ref="H14:I14"/>
    <mergeCell ref="L14:M14"/>
    <mergeCell ref="C21:N21"/>
    <mergeCell ref="L20:M20"/>
    <mergeCell ref="L16:M16"/>
    <mergeCell ref="F18:G18"/>
    <mergeCell ref="H20:I20"/>
    <mergeCell ref="J20:K20"/>
  </mergeCells>
  <phoneticPr fontId="0" type="noConversion"/>
  <conditionalFormatting sqref="D50 D45 C9 C11 C17 C22 D48 C13 C24 C26 D31:D32">
    <cfRule type="expression" dxfId="60" priority="39" stopIfTrue="1">
      <formula>R9=1</formula>
    </cfRule>
  </conditionalFormatting>
  <conditionalFormatting sqref="F10:M10 F12:M12 F14:M14 F18:M18 F23:M23 L25 J25 F25 H25 L27 J27 F27 H27 F29 L29 J29 F32 L32 J32 L34 J34 F34 H34 L36 J36 F36 H36 L39 J39 F39 H39 L41 J41 F41 H41 L44 J44 F44 H44 L46 J46 F46 H46 L49 J49 F49 H49 F51 L51 J51 L53 J53 F53 H53">
    <cfRule type="expression" dxfId="59" priority="41" stopIfTrue="1">
      <formula>OR(F$7=$Q10,G$7=$Q10)</formula>
    </cfRule>
  </conditionalFormatting>
  <conditionalFormatting sqref="D23">
    <cfRule type="expression" dxfId="58" priority="42" stopIfTrue="1">
      <formula>D$7=$Q23</formula>
    </cfRule>
  </conditionalFormatting>
  <conditionalFormatting sqref="D42:D43">
    <cfRule type="expression" dxfId="57" priority="43" stopIfTrue="1">
      <formula>D$7=$Q43</formula>
    </cfRule>
  </conditionalFormatting>
  <conditionalFormatting sqref="D52">
    <cfRule type="expression" dxfId="56" priority="45" stopIfTrue="1">
      <formula>D$7=$Q52</formula>
    </cfRule>
  </conditionalFormatting>
  <conditionalFormatting sqref="C52 C50 C48 C45 C40 C38 C35 C33 C31 C28">
    <cfRule type="expression" dxfId="55" priority="46" stopIfTrue="1">
      <formula>R28=1</formula>
    </cfRule>
  </conditionalFormatting>
  <conditionalFormatting sqref="C42:C43">
    <cfRule type="expression" dxfId="54" priority="47" stopIfTrue="1">
      <formula>$R$43</formula>
    </cfRule>
  </conditionalFormatting>
  <conditionalFormatting sqref="N16">
    <cfRule type="expression" dxfId="53" priority="33" stopIfTrue="1">
      <formula>N$7=$Q16</formula>
    </cfRule>
  </conditionalFormatting>
  <conditionalFormatting sqref="C15">
    <cfRule type="expression" dxfId="52" priority="34" stopIfTrue="1">
      <formula>R15=1</formula>
    </cfRule>
  </conditionalFormatting>
  <conditionalFormatting sqref="F16:M16">
    <cfRule type="expression" dxfId="51" priority="36" stopIfTrue="1">
      <formula>OR(F$7=$Q16,G$7=$Q16)</formula>
    </cfRule>
  </conditionalFormatting>
  <conditionalFormatting sqref="N20">
    <cfRule type="expression" dxfId="50" priority="29" stopIfTrue="1">
      <formula>N$7=$Q20</formula>
    </cfRule>
  </conditionalFormatting>
  <conditionalFormatting sqref="C19">
    <cfRule type="expression" dxfId="49" priority="30" stopIfTrue="1">
      <formula>R19=1</formula>
    </cfRule>
  </conditionalFormatting>
  <conditionalFormatting sqref="F20:M20">
    <cfRule type="expression" dxfId="48" priority="32" stopIfTrue="1">
      <formula>OR(F$7=$Q20,G$7=$Q20)</formula>
    </cfRule>
  </conditionalFormatting>
  <printOptions horizontalCentered="1" verticalCentered="1"/>
  <pageMargins left="0.25" right="0.25" top="0.75" bottom="0.75" header="0.3" footer="0.3"/>
  <pageSetup scale="54" fitToHeight="0" orientation="landscape" r:id="rId1"/>
  <headerFooter alignWithMargins="0">
    <oddFooter>&amp;CAWWA Free Water Audit Software v5.0&amp;R&amp;A     &amp;P</oddFooter>
  </headerFooter>
  <rowBreaks count="1" manualBreakCount="1">
    <brk id="46"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79998168889431442"/>
  </sheetPr>
  <dimension ref="A1:G1004"/>
  <sheetViews>
    <sheetView showGridLines="0" showRowColHeaders="0" zoomScaleNormal="100" workbookViewId="0">
      <pane ySplit="3" topLeftCell="A4" activePane="bottomLeft" state="frozen"/>
      <selection activeCell="J22" sqref="J22:J25"/>
      <selection pane="bottomLeft" activeCell="B2" sqref="B2:F3"/>
    </sheetView>
  </sheetViews>
  <sheetFormatPr defaultColWidth="0" defaultRowHeight="13.5" zeroHeight="1"/>
  <cols>
    <col min="1" max="1" width="0.85546875" style="31" customWidth="1"/>
    <col min="2" max="2" width="18.5703125" style="31" customWidth="1"/>
    <col min="3" max="3" width="17.140625" style="31" customWidth="1"/>
    <col min="4" max="4" width="17.42578125" style="31" customWidth="1"/>
    <col min="5" max="5" width="59.7109375" style="31" customWidth="1"/>
    <col min="6" max="6" width="1.5703125" style="31" customWidth="1"/>
    <col min="7" max="7" width="1.140625" style="42" customWidth="1"/>
    <col min="8" max="16384" width="0" style="31" hidden="1"/>
  </cols>
  <sheetData>
    <row r="1" spans="1:7" ht="3.75" customHeight="1" thickBot="1">
      <c r="A1" s="609"/>
      <c r="B1" s="609"/>
      <c r="C1" s="609"/>
      <c r="D1" s="609"/>
      <c r="E1" s="609"/>
      <c r="F1" s="609"/>
      <c r="G1" s="609"/>
    </row>
    <row r="2" spans="1:7" ht="15" customHeight="1" thickTop="1">
      <c r="A2" s="609"/>
      <c r="B2" s="916" t="s">
        <v>390</v>
      </c>
      <c r="C2" s="917"/>
      <c r="D2" s="917"/>
      <c r="E2" s="917"/>
      <c r="F2" s="918"/>
      <c r="G2" s="610"/>
    </row>
    <row r="3" spans="1:7" ht="29.45" customHeight="1" thickBot="1">
      <c r="A3" s="609"/>
      <c r="B3" s="919"/>
      <c r="C3" s="920"/>
      <c r="D3" s="920"/>
      <c r="E3" s="920"/>
      <c r="F3" s="921"/>
      <c r="G3" s="611"/>
    </row>
    <row r="4" spans="1:7" s="33" customFormat="1" ht="36.75" customHeight="1" thickTop="1">
      <c r="A4" s="609"/>
      <c r="B4" s="442"/>
      <c r="C4" s="443"/>
      <c r="D4" s="444"/>
      <c r="E4" s="445" t="str">
        <f>IF(ISBLANK(Instructions!H34),"","All Units in "&amp;Instructions!H34)</f>
        <v/>
      </c>
      <c r="F4" s="446"/>
      <c r="G4" s="611"/>
    </row>
    <row r="5" spans="1:7" s="33" customFormat="1" ht="36.75" customHeight="1">
      <c r="A5" s="609"/>
      <c r="B5" s="442"/>
      <c r="C5" s="443"/>
      <c r="D5" s="444"/>
      <c r="E5" s="445"/>
      <c r="F5" s="446"/>
      <c r="G5" s="611"/>
    </row>
    <row r="6" spans="1:7" s="33" customFormat="1" ht="36.75" customHeight="1">
      <c r="A6" s="609"/>
      <c r="B6" s="442"/>
      <c r="C6" s="443"/>
      <c r="D6" s="444"/>
      <c r="E6" s="445"/>
      <c r="F6" s="446"/>
      <c r="G6" s="611"/>
    </row>
    <row r="7" spans="1:7" s="33" customFormat="1" ht="36.75" customHeight="1">
      <c r="A7" s="609"/>
      <c r="B7" s="442"/>
      <c r="C7" s="443"/>
      <c r="D7" s="444"/>
      <c r="E7" s="445"/>
      <c r="F7" s="446"/>
      <c r="G7" s="611"/>
    </row>
    <row r="8" spans="1:7" s="33" customFormat="1" ht="36.75" customHeight="1">
      <c r="A8" s="609"/>
      <c r="B8" s="442"/>
      <c r="C8" s="443"/>
      <c r="D8" s="444"/>
      <c r="E8" s="445"/>
      <c r="F8" s="446"/>
      <c r="G8" s="611"/>
    </row>
    <row r="9" spans="1:7" s="33" customFormat="1" ht="36.75" customHeight="1">
      <c r="A9" s="609"/>
      <c r="B9" s="442"/>
      <c r="C9" s="443"/>
      <c r="D9" s="444"/>
      <c r="E9" s="445"/>
      <c r="F9" s="446"/>
      <c r="G9" s="611"/>
    </row>
    <row r="10" spans="1:7" s="33" customFormat="1" ht="36.75" customHeight="1">
      <c r="A10" s="609"/>
      <c r="B10" s="442"/>
      <c r="C10" s="443"/>
      <c r="D10" s="444"/>
      <c r="E10" s="445"/>
      <c r="F10" s="446"/>
      <c r="G10" s="611"/>
    </row>
    <row r="11" spans="1:7" s="33" customFormat="1" ht="36.75" customHeight="1">
      <c r="A11" s="609"/>
      <c r="B11" s="442"/>
      <c r="C11" s="443"/>
      <c r="D11" s="444"/>
      <c r="E11" s="445"/>
      <c r="F11" s="446"/>
      <c r="G11" s="611"/>
    </row>
    <row r="12" spans="1:7" s="33" customFormat="1" ht="36.75" customHeight="1">
      <c r="A12" s="609"/>
      <c r="B12" s="442"/>
      <c r="C12" s="443"/>
      <c r="D12" s="444"/>
      <c r="E12" s="445"/>
      <c r="F12" s="446"/>
      <c r="G12" s="611"/>
    </row>
    <row r="13" spans="1:7" s="33" customFormat="1" ht="36.75" customHeight="1">
      <c r="A13" s="609"/>
      <c r="B13" s="442"/>
      <c r="C13" s="443"/>
      <c r="D13" s="444"/>
      <c r="E13" s="445"/>
      <c r="F13" s="446"/>
      <c r="G13" s="611"/>
    </row>
    <row r="14" spans="1:7" s="33" customFormat="1" ht="36.75" customHeight="1">
      <c r="A14" s="609"/>
      <c r="B14" s="442"/>
      <c r="C14" s="443"/>
      <c r="D14" s="444"/>
      <c r="E14" s="445"/>
      <c r="F14" s="446"/>
      <c r="G14" s="611"/>
    </row>
    <row r="15" spans="1:7" s="33" customFormat="1" ht="36.75" customHeight="1">
      <c r="A15" s="609"/>
      <c r="B15" s="442"/>
      <c r="C15" s="443"/>
      <c r="D15" s="444"/>
      <c r="E15" s="445"/>
      <c r="F15" s="446"/>
      <c r="G15" s="611"/>
    </row>
    <row r="16" spans="1:7" s="33" customFormat="1" ht="36.75" customHeight="1">
      <c r="A16" s="609"/>
      <c r="B16" s="442"/>
      <c r="C16" s="443"/>
      <c r="D16" s="444"/>
      <c r="E16" s="445"/>
      <c r="F16" s="446"/>
      <c r="G16" s="611"/>
    </row>
    <row r="17" spans="1:7" s="33" customFormat="1" ht="36.75" customHeight="1">
      <c r="A17" s="609"/>
      <c r="B17" s="442"/>
      <c r="C17" s="443"/>
      <c r="D17" s="444"/>
      <c r="E17" s="445"/>
      <c r="F17" s="446"/>
      <c r="G17" s="611"/>
    </row>
    <row r="18" spans="1:7" s="33" customFormat="1" ht="36.75" customHeight="1">
      <c r="A18" s="609"/>
      <c r="B18" s="442"/>
      <c r="C18" s="443"/>
      <c r="D18" s="444"/>
      <c r="E18" s="445"/>
      <c r="F18" s="446"/>
      <c r="G18" s="611"/>
    </row>
    <row r="19" spans="1:7" s="33" customFormat="1" ht="36.75" customHeight="1">
      <c r="A19" s="609"/>
      <c r="B19" s="442"/>
      <c r="C19" s="443"/>
      <c r="D19" s="444"/>
      <c r="E19" s="445"/>
      <c r="F19" s="446"/>
      <c r="G19" s="611"/>
    </row>
    <row r="20" spans="1:7" s="33" customFormat="1" ht="36.75" customHeight="1">
      <c r="A20" s="609"/>
      <c r="B20" s="442"/>
      <c r="C20" s="443"/>
      <c r="D20" s="444"/>
      <c r="E20" s="445"/>
      <c r="F20" s="446"/>
      <c r="G20" s="611"/>
    </row>
    <row r="21" spans="1:7" s="33" customFormat="1" ht="36.75" customHeight="1">
      <c r="A21" s="609"/>
      <c r="B21" s="442"/>
      <c r="C21" s="443"/>
      <c r="D21" s="444"/>
      <c r="E21" s="445"/>
      <c r="F21" s="446"/>
      <c r="G21" s="611"/>
    </row>
    <row r="22" spans="1:7" s="33" customFormat="1" ht="36.75" customHeight="1">
      <c r="A22" s="609"/>
      <c r="B22" s="442"/>
      <c r="C22" s="443"/>
      <c r="D22" s="444"/>
      <c r="E22" s="445"/>
      <c r="F22" s="446"/>
      <c r="G22" s="611"/>
    </row>
    <row r="23" spans="1:7" s="33" customFormat="1" ht="36.75" customHeight="1">
      <c r="A23" s="609"/>
      <c r="B23" s="442"/>
      <c r="C23" s="443"/>
      <c r="D23" s="444"/>
      <c r="E23" s="445"/>
      <c r="F23" s="446"/>
      <c r="G23" s="611"/>
    </row>
    <row r="24" spans="1:7" s="33" customFormat="1" ht="5.25" customHeight="1" thickBot="1">
      <c r="A24" s="609"/>
      <c r="B24" s="447"/>
      <c r="C24" s="448"/>
      <c r="D24" s="449"/>
      <c r="E24" s="450"/>
      <c r="F24" s="451"/>
      <c r="G24" s="611"/>
    </row>
    <row r="25" spans="1:7" ht="14.25" hidden="1" thickTop="1"/>
    <row r="26" spans="1:7" hidden="1"/>
    <row r="27" spans="1:7" hidden="1"/>
    <row r="28" spans="1:7" hidden="1"/>
    <row r="29" spans="1:7" hidden="1"/>
    <row r="30" spans="1:7" hidden="1"/>
    <row r="31" spans="1:7" hidden="1"/>
    <row r="32" spans="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sheetData>
  <sheetProtection password="8B16"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v5.0&amp;R&amp;A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sheetPr>
  <dimension ref="A1:N174"/>
  <sheetViews>
    <sheetView showGridLines="0" showRowColHeaders="0" zoomScaleNormal="100" zoomScaleSheetLayoutView="100" workbookViewId="0">
      <pane ySplit="3" topLeftCell="A4" activePane="bottomLeft" state="frozen"/>
      <selection activeCell="J22" sqref="J22:J25"/>
      <selection pane="bottomLeft" activeCell="D8" sqref="D8:L8"/>
    </sheetView>
  </sheetViews>
  <sheetFormatPr defaultColWidth="0" defaultRowHeight="12.75" zeroHeight="1"/>
  <cols>
    <col min="1" max="1" width="1.28515625" style="541" customWidth="1"/>
    <col min="2" max="2" width="1.28515625" style="542" customWidth="1"/>
    <col min="3" max="3" width="16.42578125" style="546" customWidth="1"/>
    <col min="4" max="4" width="10.85546875" style="373" customWidth="1"/>
    <col min="5" max="5" width="11" style="373" customWidth="1"/>
    <col min="6" max="6" width="14.140625" style="373" customWidth="1"/>
    <col min="7" max="7" width="20" style="373" customWidth="1"/>
    <col min="8" max="8" width="16" style="373" customWidth="1"/>
    <col min="9" max="9" width="19" style="373" customWidth="1"/>
    <col min="10" max="10" width="23.7109375" style="373" customWidth="1"/>
    <col min="11" max="11" width="6.7109375" style="373" customWidth="1"/>
    <col min="12" max="12" width="7.28515625" style="373" customWidth="1"/>
    <col min="13" max="13" width="1.140625" style="373" customWidth="1"/>
    <col min="14" max="14" width="1.28515625" style="373" customWidth="1"/>
    <col min="15" max="16384" width="0" style="373" hidden="1"/>
  </cols>
  <sheetData>
    <row r="1" spans="1:14" s="240" customFormat="1" ht="6" customHeight="1">
      <c r="A1" s="612"/>
      <c r="B1" s="542"/>
      <c r="C1" s="545"/>
      <c r="N1" s="615"/>
    </row>
    <row r="2" spans="1:14" ht="40.5" customHeight="1">
      <c r="A2" s="612"/>
      <c r="B2" s="922" t="s">
        <v>438</v>
      </c>
      <c r="C2" s="923"/>
      <c r="D2" s="923"/>
      <c r="E2" s="923"/>
      <c r="F2" s="923"/>
      <c r="G2" s="923"/>
      <c r="H2" s="923"/>
      <c r="I2" s="923"/>
      <c r="J2" s="923"/>
      <c r="K2" s="923"/>
      <c r="L2" s="923"/>
      <c r="M2" s="924"/>
      <c r="N2" s="615"/>
    </row>
    <row r="3" spans="1:14" ht="4.1500000000000004" customHeight="1" thickBot="1">
      <c r="A3" s="612"/>
      <c r="B3" s="922"/>
      <c r="C3" s="923"/>
      <c r="D3" s="923"/>
      <c r="E3" s="923"/>
      <c r="F3" s="923"/>
      <c r="G3" s="923"/>
      <c r="H3" s="923"/>
      <c r="I3" s="923"/>
      <c r="J3" s="923"/>
      <c r="K3" s="923"/>
      <c r="L3" s="923"/>
      <c r="M3" s="924"/>
      <c r="N3" s="615"/>
    </row>
    <row r="4" spans="1:14" s="543" customFormat="1" ht="15" customHeight="1" thickBot="1">
      <c r="A4" s="617"/>
      <c r="B4" s="625"/>
      <c r="C4" s="548" t="s">
        <v>319</v>
      </c>
      <c r="D4" s="925" t="s">
        <v>320</v>
      </c>
      <c r="E4" s="926"/>
      <c r="F4" s="926"/>
      <c r="G4" s="926"/>
      <c r="H4" s="926"/>
      <c r="I4" s="926"/>
      <c r="J4" s="926"/>
      <c r="K4" s="926"/>
      <c r="L4" s="927"/>
      <c r="M4" s="475"/>
      <c r="N4" s="615"/>
    </row>
    <row r="5" spans="1:14" ht="4.1500000000000004" customHeight="1" thickBot="1">
      <c r="A5" s="612"/>
      <c r="B5" s="624"/>
      <c r="C5" s="633"/>
      <c r="D5" s="630"/>
      <c r="E5" s="630"/>
      <c r="F5" s="630"/>
      <c r="G5" s="634"/>
      <c r="H5" s="473"/>
      <c r="I5" s="473"/>
      <c r="J5" s="473"/>
      <c r="K5" s="473"/>
      <c r="L5" s="473"/>
      <c r="M5" s="478"/>
      <c r="N5" s="615"/>
    </row>
    <row r="6" spans="1:14" ht="99" customHeight="1" thickBot="1">
      <c r="A6" s="612"/>
      <c r="B6" s="624"/>
      <c r="C6" s="555" t="s">
        <v>439</v>
      </c>
      <c r="D6" s="942" t="s">
        <v>761</v>
      </c>
      <c r="E6" s="943"/>
      <c r="F6" s="943"/>
      <c r="G6" s="943"/>
      <c r="H6" s="943"/>
      <c r="I6" s="943"/>
      <c r="J6" s="943"/>
      <c r="K6" s="943"/>
      <c r="L6" s="944"/>
      <c r="M6" s="478"/>
      <c r="N6" s="615"/>
    </row>
    <row r="7" spans="1:14" ht="4.1500000000000004" customHeight="1" thickBot="1">
      <c r="A7" s="612"/>
      <c r="B7" s="624"/>
      <c r="C7" s="633"/>
      <c r="D7" s="630"/>
      <c r="E7" s="630"/>
      <c r="F7" s="630"/>
      <c r="G7" s="634"/>
      <c r="H7" s="631"/>
      <c r="I7" s="631"/>
      <c r="J7" s="631"/>
      <c r="K7" s="631"/>
      <c r="L7" s="631"/>
      <c r="M7" s="478"/>
      <c r="N7" s="615"/>
    </row>
    <row r="8" spans="1:14" ht="205.15" customHeight="1" thickBot="1">
      <c r="A8" s="612"/>
      <c r="B8" s="624"/>
      <c r="C8" s="554" t="s">
        <v>296</v>
      </c>
      <c r="D8" s="928" t="s">
        <v>513</v>
      </c>
      <c r="E8" s="929"/>
      <c r="F8" s="929"/>
      <c r="G8" s="929"/>
      <c r="H8" s="929"/>
      <c r="I8" s="929"/>
      <c r="J8" s="929"/>
      <c r="K8" s="929"/>
      <c r="L8" s="930"/>
      <c r="M8" s="478"/>
      <c r="N8" s="615"/>
    </row>
    <row r="9" spans="1:14" ht="4.1500000000000004" customHeight="1" thickBot="1">
      <c r="A9" s="612"/>
      <c r="B9" s="624"/>
      <c r="C9" s="633"/>
      <c r="D9" s="630"/>
      <c r="E9" s="630"/>
      <c r="F9" s="630"/>
      <c r="G9" s="634"/>
      <c r="H9" s="631"/>
      <c r="I9" s="631"/>
      <c r="J9" s="631"/>
      <c r="K9" s="631"/>
      <c r="L9" s="631"/>
      <c r="M9" s="478"/>
      <c r="N9" s="615"/>
    </row>
    <row r="10" spans="1:14" ht="273.60000000000002" customHeight="1" thickBot="1">
      <c r="A10" s="612"/>
      <c r="B10" s="624"/>
      <c r="C10" s="547" t="s">
        <v>249</v>
      </c>
      <c r="D10" s="931" t="s">
        <v>762</v>
      </c>
      <c r="E10" s="932"/>
      <c r="F10" s="932"/>
      <c r="G10" s="932"/>
      <c r="H10" s="932"/>
      <c r="I10" s="932"/>
      <c r="J10" s="932"/>
      <c r="K10" s="932"/>
      <c r="L10" s="933"/>
      <c r="M10" s="478"/>
      <c r="N10" s="615"/>
    </row>
    <row r="11" spans="1:14" ht="4.1500000000000004" customHeight="1" thickBot="1">
      <c r="A11" s="612"/>
      <c r="B11" s="624"/>
      <c r="C11" s="633"/>
      <c r="D11" s="630"/>
      <c r="E11" s="630"/>
      <c r="F11" s="630"/>
      <c r="G11" s="634"/>
      <c r="H11" s="631"/>
      <c r="I11" s="631"/>
      <c r="J11" s="631"/>
      <c r="K11" s="631"/>
      <c r="L11" s="631"/>
      <c r="M11" s="478"/>
      <c r="N11" s="615"/>
    </row>
    <row r="12" spans="1:14" ht="97.15" customHeight="1" thickBot="1">
      <c r="A12" s="612"/>
      <c r="B12" s="624"/>
      <c r="C12" s="556" t="s">
        <v>440</v>
      </c>
      <c r="D12" s="934" t="s">
        <v>415</v>
      </c>
      <c r="E12" s="935"/>
      <c r="F12" s="935"/>
      <c r="G12" s="935"/>
      <c r="H12" s="935"/>
      <c r="I12" s="935"/>
      <c r="J12" s="935"/>
      <c r="K12" s="935"/>
      <c r="L12" s="936"/>
      <c r="M12" s="478"/>
      <c r="N12" s="615"/>
    </row>
    <row r="13" spans="1:14" ht="4.1500000000000004" customHeight="1" thickBot="1">
      <c r="A13" s="612"/>
      <c r="B13" s="624"/>
      <c r="C13" s="633"/>
      <c r="D13" s="630"/>
      <c r="E13" s="630"/>
      <c r="F13" s="630"/>
      <c r="G13" s="634"/>
      <c r="H13" s="631"/>
      <c r="I13" s="631"/>
      <c r="J13" s="631"/>
      <c r="K13" s="631"/>
      <c r="L13" s="631"/>
      <c r="M13" s="478"/>
      <c r="N13" s="615"/>
    </row>
    <row r="14" spans="1:14" ht="39.6" customHeight="1" thickBot="1">
      <c r="A14" s="612"/>
      <c r="B14" s="624"/>
      <c r="C14" s="555" t="s">
        <v>9</v>
      </c>
      <c r="D14" s="931" t="s">
        <v>318</v>
      </c>
      <c r="E14" s="937"/>
      <c r="F14" s="937"/>
      <c r="G14" s="937"/>
      <c r="H14" s="937"/>
      <c r="I14" s="937"/>
      <c r="J14" s="937"/>
      <c r="K14" s="937"/>
      <c r="L14" s="938"/>
      <c r="M14" s="478"/>
      <c r="N14" s="615"/>
    </row>
    <row r="15" spans="1:14" ht="4.1500000000000004" customHeight="1" thickBot="1">
      <c r="A15" s="612"/>
      <c r="B15" s="624"/>
      <c r="C15" s="633"/>
      <c r="D15" s="630"/>
      <c r="E15" s="630"/>
      <c r="F15" s="630"/>
      <c r="G15" s="634"/>
      <c r="H15" s="631"/>
      <c r="I15" s="631"/>
      <c r="J15" s="631"/>
      <c r="K15" s="631"/>
      <c r="L15" s="631"/>
      <c r="M15" s="478"/>
      <c r="N15" s="615"/>
    </row>
    <row r="16" spans="1:14" ht="97.9" customHeight="1" thickBot="1">
      <c r="A16" s="612"/>
      <c r="B16" s="624"/>
      <c r="C16" s="556" t="s">
        <v>441</v>
      </c>
      <c r="D16" s="931" t="s">
        <v>416</v>
      </c>
      <c r="E16" s="937"/>
      <c r="F16" s="937"/>
      <c r="G16" s="937"/>
      <c r="H16" s="937"/>
      <c r="I16" s="937"/>
      <c r="J16" s="937"/>
      <c r="K16" s="937"/>
      <c r="L16" s="938"/>
      <c r="M16" s="478"/>
      <c r="N16" s="615"/>
    </row>
    <row r="17" spans="1:14" ht="4.1500000000000004" customHeight="1" thickBot="1">
      <c r="A17" s="612"/>
      <c r="B17" s="624"/>
      <c r="C17" s="633"/>
      <c r="D17" s="630"/>
      <c r="E17" s="630"/>
      <c r="F17" s="630"/>
      <c r="G17" s="634"/>
      <c r="H17" s="631"/>
      <c r="I17" s="631"/>
      <c r="J17" s="631"/>
      <c r="K17" s="631"/>
      <c r="L17" s="631"/>
      <c r="M17" s="478"/>
      <c r="N17" s="615"/>
    </row>
    <row r="18" spans="1:14" ht="70.900000000000006" customHeight="1" thickBot="1">
      <c r="A18" s="612"/>
      <c r="B18" s="624"/>
      <c r="C18" s="556" t="s">
        <v>442</v>
      </c>
      <c r="D18" s="931" t="s">
        <v>417</v>
      </c>
      <c r="E18" s="937"/>
      <c r="F18" s="937"/>
      <c r="G18" s="937"/>
      <c r="H18" s="937"/>
      <c r="I18" s="937"/>
      <c r="J18" s="937"/>
      <c r="K18" s="937"/>
      <c r="L18" s="938"/>
      <c r="M18" s="478"/>
      <c r="N18" s="615"/>
    </row>
    <row r="19" spans="1:14" ht="4.1500000000000004" customHeight="1" thickBot="1">
      <c r="A19" s="612"/>
      <c r="B19" s="624"/>
      <c r="C19" s="633"/>
      <c r="D19" s="630"/>
      <c r="E19" s="630"/>
      <c r="F19" s="630"/>
      <c r="G19" s="634"/>
      <c r="H19" s="631"/>
      <c r="I19" s="631"/>
      <c r="J19" s="631"/>
      <c r="K19" s="631"/>
      <c r="L19" s="631"/>
      <c r="M19" s="478"/>
      <c r="N19" s="615"/>
    </row>
    <row r="20" spans="1:14" s="544" customFormat="1" ht="232.9" customHeight="1" thickBot="1">
      <c r="A20" s="618"/>
      <c r="B20" s="626"/>
      <c r="C20" s="555" t="s">
        <v>185</v>
      </c>
      <c r="D20" s="934" t="s">
        <v>444</v>
      </c>
      <c r="E20" s="935"/>
      <c r="F20" s="935"/>
      <c r="G20" s="935"/>
      <c r="H20" s="935"/>
      <c r="I20" s="935"/>
      <c r="J20" s="935"/>
      <c r="K20" s="935"/>
      <c r="L20" s="936"/>
      <c r="M20" s="628"/>
      <c r="N20" s="616"/>
    </row>
    <row r="21" spans="1:14" ht="4.1500000000000004" customHeight="1" thickBot="1">
      <c r="A21" s="612"/>
      <c r="B21" s="624"/>
      <c r="C21" s="633"/>
      <c r="D21" s="630"/>
      <c r="E21" s="630"/>
      <c r="F21" s="630"/>
      <c r="G21" s="634"/>
      <c r="H21" s="631"/>
      <c r="I21" s="631"/>
      <c r="J21" s="631"/>
      <c r="K21" s="631"/>
      <c r="L21" s="631"/>
      <c r="M21" s="478"/>
      <c r="N21" s="615"/>
    </row>
    <row r="22" spans="1:14" ht="177.6" customHeight="1" thickBot="1">
      <c r="A22" s="612"/>
      <c r="B22" s="624"/>
      <c r="C22" s="555" t="s">
        <v>25</v>
      </c>
      <c r="D22" s="934" t="s">
        <v>426</v>
      </c>
      <c r="E22" s="935"/>
      <c r="F22" s="935"/>
      <c r="G22" s="935"/>
      <c r="H22" s="935"/>
      <c r="I22" s="935"/>
      <c r="J22" s="935"/>
      <c r="K22" s="935"/>
      <c r="L22" s="936"/>
      <c r="M22" s="478"/>
      <c r="N22" s="615"/>
    </row>
    <row r="23" spans="1:14" ht="4.1500000000000004" customHeight="1" thickBot="1">
      <c r="A23" s="612"/>
      <c r="B23" s="624"/>
      <c r="C23" s="633"/>
      <c r="D23" s="630"/>
      <c r="E23" s="630"/>
      <c r="F23" s="630"/>
      <c r="G23" s="634"/>
      <c r="H23" s="631"/>
      <c r="I23" s="631"/>
      <c r="J23" s="631"/>
      <c r="K23" s="631"/>
      <c r="L23" s="631"/>
      <c r="M23" s="478"/>
      <c r="N23" s="615"/>
    </row>
    <row r="24" spans="1:14" ht="68.45" customHeight="1" thickBot="1">
      <c r="A24" s="612"/>
      <c r="B24" s="624"/>
      <c r="C24" s="557" t="s">
        <v>92</v>
      </c>
      <c r="D24" s="931" t="s">
        <v>138</v>
      </c>
      <c r="E24" s="937"/>
      <c r="F24" s="937"/>
      <c r="G24" s="937"/>
      <c r="H24" s="937"/>
      <c r="I24" s="937"/>
      <c r="J24" s="937"/>
      <c r="K24" s="937"/>
      <c r="L24" s="938"/>
      <c r="M24" s="478"/>
      <c r="N24" s="615"/>
    </row>
    <row r="25" spans="1:14" ht="4.1500000000000004" customHeight="1" thickBot="1">
      <c r="A25" s="612"/>
      <c r="B25" s="624"/>
      <c r="C25" s="633"/>
      <c r="D25" s="630"/>
      <c r="E25" s="630"/>
      <c r="F25" s="630"/>
      <c r="G25" s="634"/>
      <c r="H25" s="631"/>
      <c r="I25" s="631"/>
      <c r="J25" s="631"/>
      <c r="K25" s="631"/>
      <c r="L25" s="631"/>
      <c r="M25" s="478"/>
      <c r="N25" s="615"/>
    </row>
    <row r="26" spans="1:14" ht="151.9" customHeight="1" thickBot="1">
      <c r="A26" s="612"/>
      <c r="B26" s="624"/>
      <c r="C26" s="547" t="s">
        <v>142</v>
      </c>
      <c r="D26" s="934" t="s">
        <v>418</v>
      </c>
      <c r="E26" s="935"/>
      <c r="F26" s="935"/>
      <c r="G26" s="935"/>
      <c r="H26" s="935"/>
      <c r="I26" s="935"/>
      <c r="J26" s="935"/>
      <c r="K26" s="935"/>
      <c r="L26" s="936"/>
      <c r="M26" s="478"/>
      <c r="N26" s="615"/>
    </row>
    <row r="27" spans="1:14" ht="4.1500000000000004" customHeight="1" thickBot="1">
      <c r="A27" s="612"/>
      <c r="B27" s="624"/>
      <c r="C27" s="633"/>
      <c r="D27" s="630"/>
      <c r="E27" s="630"/>
      <c r="F27" s="630"/>
      <c r="G27" s="634"/>
      <c r="H27" s="631"/>
      <c r="I27" s="631"/>
      <c r="J27" s="631"/>
      <c r="K27" s="631"/>
      <c r="L27" s="631"/>
      <c r="M27" s="478"/>
      <c r="N27" s="615"/>
    </row>
    <row r="28" spans="1:14" ht="54.6" customHeight="1" thickBot="1">
      <c r="A28" s="612"/>
      <c r="B28" s="624"/>
      <c r="C28" s="556" t="s">
        <v>22</v>
      </c>
      <c r="D28" s="939" t="s">
        <v>419</v>
      </c>
      <c r="E28" s="940"/>
      <c r="F28" s="940"/>
      <c r="G28" s="940"/>
      <c r="H28" s="940"/>
      <c r="I28" s="940"/>
      <c r="J28" s="940"/>
      <c r="K28" s="940"/>
      <c r="L28" s="941"/>
      <c r="M28" s="478"/>
      <c r="N28" s="615"/>
    </row>
    <row r="29" spans="1:14" ht="4.1500000000000004" customHeight="1" thickBot="1">
      <c r="A29" s="612"/>
      <c r="B29" s="624"/>
      <c r="C29" s="633"/>
      <c r="D29" s="630"/>
      <c r="E29" s="630"/>
      <c r="F29" s="630"/>
      <c r="G29" s="634"/>
      <c r="H29" s="631"/>
      <c r="I29" s="631"/>
      <c r="J29" s="631"/>
      <c r="K29" s="631"/>
      <c r="L29" s="631"/>
      <c r="M29" s="478"/>
      <c r="N29" s="615"/>
    </row>
    <row r="30" spans="1:14" ht="80.45" customHeight="1" thickBot="1">
      <c r="A30" s="612"/>
      <c r="B30" s="624"/>
      <c r="C30" s="556" t="s">
        <v>435</v>
      </c>
      <c r="D30" s="934" t="s">
        <v>811</v>
      </c>
      <c r="E30" s="935"/>
      <c r="F30" s="935"/>
      <c r="G30" s="935"/>
      <c r="H30" s="935"/>
      <c r="I30" s="935"/>
      <c r="J30" s="935"/>
      <c r="K30" s="935"/>
      <c r="L30" s="936"/>
      <c r="M30" s="478"/>
      <c r="N30" s="615"/>
    </row>
    <row r="31" spans="1:14" ht="4.1500000000000004" customHeight="1" thickBot="1">
      <c r="A31" s="612"/>
      <c r="B31" s="624"/>
      <c r="C31" s="633"/>
      <c r="D31" s="630"/>
      <c r="E31" s="630"/>
      <c r="F31" s="630"/>
      <c r="G31" s="634"/>
      <c r="H31" s="631"/>
      <c r="I31" s="631"/>
      <c r="J31" s="631"/>
      <c r="K31" s="631"/>
      <c r="L31" s="631"/>
      <c r="M31" s="478"/>
      <c r="N31" s="615"/>
    </row>
    <row r="32" spans="1:14" ht="56.45" customHeight="1" thickBot="1">
      <c r="A32" s="612"/>
      <c r="B32" s="624"/>
      <c r="C32" s="556" t="s">
        <v>141</v>
      </c>
      <c r="D32" s="934" t="s">
        <v>420</v>
      </c>
      <c r="E32" s="935"/>
      <c r="F32" s="935"/>
      <c r="G32" s="935"/>
      <c r="H32" s="935"/>
      <c r="I32" s="935"/>
      <c r="J32" s="935"/>
      <c r="K32" s="935"/>
      <c r="L32" s="936"/>
      <c r="M32" s="478"/>
      <c r="N32" s="615"/>
    </row>
    <row r="33" spans="1:14" ht="4.1500000000000004" customHeight="1" thickBot="1">
      <c r="A33" s="612"/>
      <c r="B33" s="624"/>
      <c r="C33" s="633"/>
      <c r="D33" s="630"/>
      <c r="E33" s="630"/>
      <c r="F33" s="630"/>
      <c r="G33" s="634"/>
      <c r="H33" s="631"/>
      <c r="I33" s="631"/>
      <c r="J33" s="631"/>
      <c r="K33" s="631"/>
      <c r="L33" s="631"/>
      <c r="M33" s="478"/>
      <c r="N33" s="615"/>
    </row>
    <row r="34" spans="1:14" ht="24.6" customHeight="1" thickBot="1">
      <c r="A34" s="612"/>
      <c r="B34" s="624"/>
      <c r="C34" s="555" t="s">
        <v>10</v>
      </c>
      <c r="D34" s="947" t="s">
        <v>421</v>
      </c>
      <c r="E34" s="945"/>
      <c r="F34" s="945"/>
      <c r="G34" s="945"/>
      <c r="H34" s="945"/>
      <c r="I34" s="945"/>
      <c r="J34" s="945"/>
      <c r="K34" s="945"/>
      <c r="L34" s="946"/>
      <c r="M34" s="478"/>
      <c r="N34" s="615"/>
    </row>
    <row r="35" spans="1:14" ht="4.1500000000000004" customHeight="1" thickBot="1">
      <c r="A35" s="612"/>
      <c r="B35" s="624"/>
      <c r="C35" s="633"/>
      <c r="D35" s="630"/>
      <c r="E35" s="630"/>
      <c r="F35" s="630"/>
      <c r="G35" s="634"/>
      <c r="H35" s="631"/>
      <c r="I35" s="631"/>
      <c r="J35" s="631"/>
      <c r="K35" s="631"/>
      <c r="L35" s="631"/>
      <c r="M35" s="478"/>
      <c r="N35" s="615"/>
    </row>
    <row r="36" spans="1:14" ht="68.45" customHeight="1" thickBot="1">
      <c r="A36" s="612"/>
      <c r="B36" s="624"/>
      <c r="C36" s="556" t="s">
        <v>423</v>
      </c>
      <c r="D36" s="939" t="s">
        <v>422</v>
      </c>
      <c r="E36" s="945"/>
      <c r="F36" s="945"/>
      <c r="G36" s="945"/>
      <c r="H36" s="945"/>
      <c r="I36" s="945"/>
      <c r="J36" s="945"/>
      <c r="K36" s="945"/>
      <c r="L36" s="946"/>
      <c r="M36" s="478"/>
      <c r="N36" s="615"/>
    </row>
    <row r="37" spans="1:14" ht="4.1500000000000004" customHeight="1" thickBot="1">
      <c r="A37" s="612"/>
      <c r="B37" s="624"/>
      <c r="C37" s="633"/>
      <c r="D37" s="630"/>
      <c r="E37" s="630"/>
      <c r="F37" s="630"/>
      <c r="G37" s="634"/>
      <c r="H37" s="631"/>
      <c r="I37" s="631"/>
      <c r="J37" s="631"/>
      <c r="K37" s="631"/>
      <c r="L37" s="631"/>
      <c r="M37" s="478"/>
      <c r="N37" s="615"/>
    </row>
    <row r="38" spans="1:14" ht="366.6" customHeight="1" thickBot="1">
      <c r="A38" s="612"/>
      <c r="B38" s="624"/>
      <c r="C38" s="555" t="s">
        <v>21</v>
      </c>
      <c r="D38" s="934" t="s">
        <v>812</v>
      </c>
      <c r="E38" s="935"/>
      <c r="F38" s="935"/>
      <c r="G38" s="935"/>
      <c r="H38" s="935"/>
      <c r="I38" s="935"/>
      <c r="J38" s="935"/>
      <c r="K38" s="935"/>
      <c r="L38" s="936"/>
      <c r="M38" s="478"/>
      <c r="N38" s="615"/>
    </row>
    <row r="39" spans="1:14" ht="4.1500000000000004" customHeight="1" thickBot="1">
      <c r="A39" s="612"/>
      <c r="B39" s="624"/>
      <c r="C39" s="633"/>
      <c r="D39" s="630"/>
      <c r="E39" s="630"/>
      <c r="F39" s="630"/>
      <c r="G39" s="634"/>
      <c r="H39" s="631"/>
      <c r="I39" s="631"/>
      <c r="J39" s="631"/>
      <c r="K39" s="631"/>
      <c r="L39" s="631"/>
      <c r="M39" s="478"/>
      <c r="N39" s="615"/>
    </row>
    <row r="40" spans="1:14" ht="86.45" customHeight="1" thickBot="1">
      <c r="A40" s="612"/>
      <c r="B40" s="624"/>
      <c r="C40" s="556" t="s">
        <v>24</v>
      </c>
      <c r="D40" s="934" t="s">
        <v>424</v>
      </c>
      <c r="E40" s="935"/>
      <c r="F40" s="935"/>
      <c r="G40" s="935"/>
      <c r="H40" s="935"/>
      <c r="I40" s="935"/>
      <c r="J40" s="935"/>
      <c r="K40" s="935"/>
      <c r="L40" s="936"/>
      <c r="M40" s="478"/>
      <c r="N40" s="615"/>
    </row>
    <row r="41" spans="1:14" ht="4.1500000000000004" customHeight="1" thickBot="1">
      <c r="A41" s="612"/>
      <c r="B41" s="624"/>
      <c r="C41" s="633"/>
      <c r="D41" s="630"/>
      <c r="E41" s="630"/>
      <c r="F41" s="630"/>
      <c r="G41" s="634"/>
      <c r="H41" s="631"/>
      <c r="I41" s="631"/>
      <c r="J41" s="631"/>
      <c r="K41" s="631"/>
      <c r="L41" s="631"/>
      <c r="M41" s="478"/>
      <c r="N41" s="615"/>
    </row>
    <row r="42" spans="1:14" ht="151.15" customHeight="1" thickBot="1">
      <c r="A42" s="612"/>
      <c r="B42" s="624"/>
      <c r="C42" s="555" t="s">
        <v>20</v>
      </c>
      <c r="D42" s="934" t="s">
        <v>425</v>
      </c>
      <c r="E42" s="935"/>
      <c r="F42" s="935"/>
      <c r="G42" s="935"/>
      <c r="H42" s="935"/>
      <c r="I42" s="935"/>
      <c r="J42" s="935"/>
      <c r="K42" s="935"/>
      <c r="L42" s="936"/>
      <c r="M42" s="478"/>
      <c r="N42" s="615"/>
    </row>
    <row r="43" spans="1:14" ht="4.1500000000000004" customHeight="1" thickBot="1">
      <c r="A43" s="612"/>
      <c r="B43" s="624"/>
      <c r="C43" s="633"/>
      <c r="D43" s="630"/>
      <c r="E43" s="630"/>
      <c r="F43" s="630"/>
      <c r="G43" s="634"/>
      <c r="H43" s="631"/>
      <c r="I43" s="631"/>
      <c r="J43" s="631"/>
      <c r="K43" s="631"/>
      <c r="L43" s="631"/>
      <c r="M43" s="478"/>
      <c r="N43" s="615"/>
    </row>
    <row r="44" spans="1:14" ht="130.5" customHeight="1">
      <c r="A44" s="612"/>
      <c r="B44" s="624"/>
      <c r="C44" s="950" t="s">
        <v>91</v>
      </c>
      <c r="D44" s="952" t="s">
        <v>427</v>
      </c>
      <c r="E44" s="953"/>
      <c r="F44" s="953"/>
      <c r="G44" s="953"/>
      <c r="H44" s="953"/>
      <c r="I44" s="953"/>
      <c r="J44" s="953"/>
      <c r="K44" s="953"/>
      <c r="L44" s="954"/>
      <c r="M44" s="478"/>
      <c r="N44" s="615"/>
    </row>
    <row r="45" spans="1:14" ht="204" customHeight="1" thickBot="1">
      <c r="A45" s="612"/>
      <c r="B45" s="624"/>
      <c r="C45" s="951"/>
      <c r="D45" s="955"/>
      <c r="E45" s="956"/>
      <c r="F45" s="956"/>
      <c r="G45" s="956"/>
      <c r="H45" s="956"/>
      <c r="I45" s="956"/>
      <c r="J45" s="956"/>
      <c r="K45" s="956"/>
      <c r="L45" s="957"/>
      <c r="M45" s="478"/>
      <c r="N45" s="615"/>
    </row>
    <row r="46" spans="1:14" ht="4.1500000000000004" customHeight="1" thickBot="1">
      <c r="A46" s="612"/>
      <c r="B46" s="624"/>
      <c r="C46" s="633"/>
      <c r="D46" s="630"/>
      <c r="E46" s="630"/>
      <c r="F46" s="630"/>
      <c r="G46" s="634"/>
      <c r="H46" s="631"/>
      <c r="I46" s="631"/>
      <c r="J46" s="631"/>
      <c r="K46" s="631"/>
      <c r="L46" s="631"/>
      <c r="M46" s="478"/>
      <c r="N46" s="615"/>
    </row>
    <row r="47" spans="1:14" ht="73.150000000000006" customHeight="1" thickBot="1">
      <c r="A47" s="612"/>
      <c r="B47" s="624"/>
      <c r="C47" s="555" t="s">
        <v>12</v>
      </c>
      <c r="D47" s="931" t="s">
        <v>428</v>
      </c>
      <c r="E47" s="937"/>
      <c r="F47" s="937"/>
      <c r="G47" s="937"/>
      <c r="H47" s="937"/>
      <c r="I47" s="937"/>
      <c r="J47" s="937"/>
      <c r="K47" s="937"/>
      <c r="L47" s="938"/>
      <c r="M47" s="478"/>
      <c r="N47" s="615"/>
    </row>
    <row r="48" spans="1:14" ht="4.1500000000000004" customHeight="1" thickBot="1">
      <c r="A48" s="612"/>
      <c r="B48" s="624"/>
      <c r="C48" s="635"/>
      <c r="D48" s="636"/>
      <c r="E48" s="636"/>
      <c r="F48" s="636"/>
      <c r="G48" s="637"/>
      <c r="H48" s="630"/>
      <c r="I48" s="630"/>
      <c r="J48" s="630"/>
      <c r="K48" s="630"/>
      <c r="L48" s="630"/>
      <c r="M48" s="478"/>
      <c r="N48" s="615"/>
    </row>
    <row r="49" spans="1:14" ht="61.9" customHeight="1" thickBot="1">
      <c r="A49" s="612"/>
      <c r="B49" s="624"/>
      <c r="C49" s="556" t="s">
        <v>184</v>
      </c>
      <c r="D49" s="934" t="s">
        <v>429</v>
      </c>
      <c r="E49" s="935"/>
      <c r="F49" s="935"/>
      <c r="G49" s="935"/>
      <c r="H49" s="935"/>
      <c r="I49" s="935"/>
      <c r="J49" s="935"/>
      <c r="K49" s="935"/>
      <c r="L49" s="936"/>
      <c r="M49" s="478"/>
      <c r="N49" s="615"/>
    </row>
    <row r="50" spans="1:14" ht="4.1500000000000004" customHeight="1" thickBot="1">
      <c r="A50" s="612"/>
      <c r="B50" s="624"/>
      <c r="C50" s="635"/>
      <c r="D50" s="636"/>
      <c r="E50" s="636"/>
      <c r="F50" s="636"/>
      <c r="G50" s="637"/>
      <c r="H50" s="630"/>
      <c r="I50" s="630"/>
      <c r="J50" s="630"/>
      <c r="K50" s="630"/>
      <c r="L50" s="630"/>
      <c r="M50" s="478"/>
      <c r="N50" s="615"/>
    </row>
    <row r="51" spans="1:14" ht="165" customHeight="1" thickBot="1">
      <c r="A51" s="612"/>
      <c r="B51" s="624"/>
      <c r="C51" s="555" t="s">
        <v>183</v>
      </c>
      <c r="D51" s="934" t="s">
        <v>434</v>
      </c>
      <c r="E51" s="935"/>
      <c r="F51" s="935"/>
      <c r="G51" s="935"/>
      <c r="H51" s="935"/>
      <c r="I51" s="935"/>
      <c r="J51" s="935"/>
      <c r="K51" s="935"/>
      <c r="L51" s="936"/>
      <c r="M51" s="478"/>
      <c r="N51" s="615"/>
    </row>
    <row r="52" spans="1:14" ht="4.1500000000000004" customHeight="1" thickBot="1">
      <c r="A52" s="612"/>
      <c r="B52" s="624"/>
      <c r="C52" s="633"/>
      <c r="D52" s="630"/>
      <c r="E52" s="630"/>
      <c r="F52" s="630"/>
      <c r="G52" s="634"/>
      <c r="H52" s="631"/>
      <c r="I52" s="631"/>
      <c r="J52" s="631"/>
      <c r="K52" s="631"/>
      <c r="L52" s="631"/>
      <c r="M52" s="478"/>
      <c r="N52" s="615"/>
    </row>
    <row r="53" spans="1:14" ht="102" customHeight="1">
      <c r="A53" s="612"/>
      <c r="B53" s="624"/>
      <c r="C53" s="950" t="s">
        <v>59</v>
      </c>
      <c r="D53" s="958" t="s">
        <v>3</v>
      </c>
      <c r="E53" s="959"/>
      <c r="F53" s="959"/>
      <c r="G53" s="959"/>
      <c r="H53" s="959"/>
      <c r="I53" s="959"/>
      <c r="J53" s="959"/>
      <c r="K53" s="959"/>
      <c r="L53" s="960"/>
      <c r="M53" s="478"/>
      <c r="N53" s="615"/>
    </row>
    <row r="54" spans="1:14" ht="18" customHeight="1">
      <c r="A54" s="612"/>
      <c r="B54" s="624"/>
      <c r="C54" s="962"/>
      <c r="D54" s="561"/>
      <c r="E54" s="961" t="s">
        <v>281</v>
      </c>
      <c r="F54" s="961"/>
      <c r="G54" s="562" t="s">
        <v>279</v>
      </c>
      <c r="H54" s="562"/>
      <c r="I54" s="949" t="s">
        <v>280</v>
      </c>
      <c r="J54" s="949"/>
      <c r="K54" s="563"/>
      <c r="L54" s="564"/>
      <c r="M54" s="478"/>
      <c r="N54" s="615"/>
    </row>
    <row r="55" spans="1:14" ht="18.75" customHeight="1">
      <c r="A55" s="612"/>
      <c r="B55" s="624"/>
      <c r="C55" s="962"/>
      <c r="D55" s="565"/>
      <c r="E55" s="963">
        <v>1</v>
      </c>
      <c r="F55" s="964"/>
      <c r="G55" s="121" t="s">
        <v>275</v>
      </c>
      <c r="H55" s="119" t="s">
        <v>278</v>
      </c>
      <c r="I55" s="120">
        <f>E55*INDEX(Sheet1!N2:P4,MATCH(G55,Sheet1!M2:M4,0),MATCH(J55,Sheet1!N1:P1,0))</f>
        <v>3.068883289737228</v>
      </c>
      <c r="J55" s="121" t="s">
        <v>57</v>
      </c>
      <c r="K55" s="563"/>
      <c r="L55" s="564"/>
      <c r="M55" s="478"/>
      <c r="N55" s="615"/>
    </row>
    <row r="56" spans="1:14" ht="18" customHeight="1">
      <c r="A56" s="612"/>
      <c r="B56" s="624"/>
      <c r="C56" s="962"/>
      <c r="D56" s="561"/>
      <c r="E56" s="566"/>
      <c r="F56" s="566"/>
      <c r="G56" s="948" t="str">
        <f>"(conversion factor = "&amp;INDEX(Sheet1!N2:P4,MATCH(G55,Sheet1!M2:M4,0),MATCH(J55,Sheet1!N1:P1,0))&amp;")"</f>
        <v>(conversion factor = 3.06888328973723)</v>
      </c>
      <c r="H56" s="948"/>
      <c r="I56" s="948"/>
      <c r="J56" s="948"/>
      <c r="K56" s="563"/>
      <c r="L56" s="564"/>
      <c r="M56" s="478"/>
      <c r="N56" s="615"/>
    </row>
    <row r="57" spans="1:14" ht="3.75" customHeight="1" thickBot="1">
      <c r="A57" s="612"/>
      <c r="B57" s="624"/>
      <c r="C57" s="951"/>
      <c r="D57" s="567"/>
      <c r="E57" s="568"/>
      <c r="F57" s="568"/>
      <c r="G57" s="569"/>
      <c r="H57" s="570"/>
      <c r="I57" s="570"/>
      <c r="J57" s="570"/>
      <c r="K57" s="570"/>
      <c r="L57" s="571"/>
      <c r="M57" s="478"/>
      <c r="N57" s="615"/>
    </row>
    <row r="58" spans="1:14" ht="4.1500000000000004" customHeight="1" thickBot="1">
      <c r="A58" s="612"/>
      <c r="B58" s="624"/>
      <c r="C58" s="629"/>
      <c r="D58" s="630"/>
      <c r="E58" s="630"/>
      <c r="F58" s="630"/>
      <c r="G58" s="631"/>
      <c r="H58" s="631"/>
      <c r="I58" s="631"/>
      <c r="J58" s="631"/>
      <c r="K58" s="631"/>
      <c r="L58" s="631"/>
      <c r="M58" s="478"/>
      <c r="N58" s="615"/>
    </row>
    <row r="59" spans="1:14" ht="183" customHeight="1" thickBot="1">
      <c r="A59" s="612"/>
      <c r="B59" s="624"/>
      <c r="C59" s="554" t="s">
        <v>251</v>
      </c>
      <c r="D59" s="965"/>
      <c r="E59" s="966"/>
      <c r="F59" s="966"/>
      <c r="G59" s="966"/>
      <c r="H59" s="966"/>
      <c r="I59" s="966"/>
      <c r="J59" s="966"/>
      <c r="K59" s="966"/>
      <c r="L59" s="967"/>
      <c r="M59" s="478"/>
      <c r="N59" s="615"/>
    </row>
    <row r="60" spans="1:14" ht="4.1500000000000004" customHeight="1" thickBot="1">
      <c r="A60" s="612"/>
      <c r="B60" s="624"/>
      <c r="C60" s="629"/>
      <c r="D60" s="630"/>
      <c r="E60" s="630"/>
      <c r="F60" s="630"/>
      <c r="G60" s="631"/>
      <c r="H60" s="631"/>
      <c r="I60" s="631"/>
      <c r="J60" s="631"/>
      <c r="K60" s="631"/>
      <c r="L60" s="631"/>
      <c r="M60" s="478"/>
      <c r="N60" s="615"/>
    </row>
    <row r="61" spans="1:14" ht="138.6" customHeight="1" thickBot="1">
      <c r="A61" s="612"/>
      <c r="B61" s="624"/>
      <c r="C61" s="554" t="s">
        <v>197</v>
      </c>
      <c r="D61" s="934" t="s">
        <v>763</v>
      </c>
      <c r="E61" s="935"/>
      <c r="F61" s="935"/>
      <c r="G61" s="935"/>
      <c r="H61" s="935"/>
      <c r="I61" s="935"/>
      <c r="J61" s="935"/>
      <c r="K61" s="935"/>
      <c r="L61" s="936"/>
      <c r="M61" s="478"/>
      <c r="N61" s="615"/>
    </row>
    <row r="62" spans="1:14" ht="4.1500000000000004" customHeight="1" thickBot="1">
      <c r="A62" s="612"/>
      <c r="B62" s="624"/>
      <c r="C62" s="629"/>
      <c r="D62" s="630"/>
      <c r="E62" s="630"/>
      <c r="F62" s="630"/>
      <c r="G62" s="631"/>
      <c r="H62" s="631"/>
      <c r="I62" s="631"/>
      <c r="J62" s="631"/>
      <c r="K62" s="631"/>
      <c r="L62" s="631"/>
      <c r="M62" s="478"/>
      <c r="N62" s="615"/>
    </row>
    <row r="63" spans="1:14" ht="99" customHeight="1" thickBot="1">
      <c r="A63" s="612"/>
      <c r="B63" s="624"/>
      <c r="C63" s="554" t="s">
        <v>181</v>
      </c>
      <c r="D63" s="931" t="s">
        <v>430</v>
      </c>
      <c r="E63" s="937"/>
      <c r="F63" s="937"/>
      <c r="G63" s="937"/>
      <c r="H63" s="937"/>
      <c r="I63" s="937"/>
      <c r="J63" s="937"/>
      <c r="K63" s="937"/>
      <c r="L63" s="938"/>
      <c r="M63" s="478"/>
      <c r="N63" s="615"/>
    </row>
    <row r="64" spans="1:14" ht="4.1500000000000004" customHeight="1" thickBot="1">
      <c r="A64" s="612"/>
      <c r="B64" s="624"/>
      <c r="C64" s="629"/>
      <c r="D64" s="630"/>
      <c r="E64" s="630"/>
      <c r="F64" s="630"/>
      <c r="G64" s="631"/>
      <c r="H64" s="631"/>
      <c r="I64" s="631"/>
      <c r="J64" s="631"/>
      <c r="K64" s="631"/>
      <c r="L64" s="631"/>
      <c r="M64" s="478"/>
      <c r="N64" s="615"/>
    </row>
    <row r="65" spans="1:14" ht="99.6" customHeight="1" thickBot="1">
      <c r="A65" s="612"/>
      <c r="B65" s="624"/>
      <c r="C65" s="557" t="s">
        <v>795</v>
      </c>
      <c r="D65" s="931" t="s">
        <v>433</v>
      </c>
      <c r="E65" s="937"/>
      <c r="F65" s="937"/>
      <c r="G65" s="937"/>
      <c r="H65" s="937"/>
      <c r="I65" s="937"/>
      <c r="J65" s="937"/>
      <c r="K65" s="937"/>
      <c r="L65" s="938"/>
      <c r="M65" s="478"/>
      <c r="N65" s="615"/>
    </row>
    <row r="66" spans="1:14" ht="4.1500000000000004" customHeight="1" thickBot="1">
      <c r="A66" s="612"/>
      <c r="B66" s="624"/>
      <c r="C66" s="629"/>
      <c r="D66" s="630"/>
      <c r="E66" s="630"/>
      <c r="F66" s="630"/>
      <c r="G66" s="631"/>
      <c r="H66" s="631"/>
      <c r="I66" s="631"/>
      <c r="J66" s="631"/>
      <c r="K66" s="631"/>
      <c r="L66" s="631"/>
      <c r="M66" s="478"/>
      <c r="N66" s="615"/>
    </row>
    <row r="67" spans="1:14" ht="151.15" customHeight="1" thickBot="1">
      <c r="A67" s="612"/>
      <c r="B67" s="624"/>
      <c r="C67" s="554" t="s">
        <v>182</v>
      </c>
      <c r="D67" s="931" t="s">
        <v>764</v>
      </c>
      <c r="E67" s="937"/>
      <c r="F67" s="937"/>
      <c r="G67" s="937"/>
      <c r="H67" s="937"/>
      <c r="I67" s="937"/>
      <c r="J67" s="937"/>
      <c r="K67" s="937"/>
      <c r="L67" s="938"/>
      <c r="M67" s="478"/>
      <c r="N67" s="615"/>
    </row>
    <row r="68" spans="1:14" ht="4.1500000000000004" customHeight="1" thickBot="1">
      <c r="A68" s="612"/>
      <c r="B68" s="624"/>
      <c r="C68" s="629"/>
      <c r="D68" s="630"/>
      <c r="E68" s="630"/>
      <c r="F68" s="630"/>
      <c r="G68" s="631"/>
      <c r="H68" s="631"/>
      <c r="I68" s="631"/>
      <c r="J68" s="631"/>
      <c r="K68" s="631"/>
      <c r="L68" s="631"/>
      <c r="M68" s="478"/>
      <c r="N68" s="615"/>
    </row>
    <row r="69" spans="1:14" ht="124.9" customHeight="1" thickBot="1">
      <c r="A69" s="612"/>
      <c r="B69" s="624"/>
      <c r="C69" s="554" t="s">
        <v>796</v>
      </c>
      <c r="D69" s="931" t="s">
        <v>432</v>
      </c>
      <c r="E69" s="937"/>
      <c r="F69" s="937"/>
      <c r="G69" s="937"/>
      <c r="H69" s="937"/>
      <c r="I69" s="937"/>
      <c r="J69" s="937"/>
      <c r="K69" s="937"/>
      <c r="L69" s="938"/>
      <c r="M69" s="478"/>
      <c r="N69" s="615"/>
    </row>
    <row r="70" spans="1:14" ht="4.1500000000000004" customHeight="1" thickBot="1">
      <c r="A70" s="612"/>
      <c r="B70" s="624"/>
      <c r="C70" s="633"/>
      <c r="D70" s="630"/>
      <c r="E70" s="630"/>
      <c r="F70" s="630"/>
      <c r="G70" s="634"/>
      <c r="H70" s="631"/>
      <c r="I70" s="631"/>
      <c r="J70" s="631"/>
      <c r="K70" s="631"/>
      <c r="L70" s="631"/>
      <c r="M70" s="478"/>
      <c r="N70" s="615"/>
    </row>
    <row r="71" spans="1:14" ht="59.45" customHeight="1" thickBot="1">
      <c r="A71" s="612"/>
      <c r="B71" s="624"/>
      <c r="C71" s="557" t="s">
        <v>445</v>
      </c>
      <c r="D71" s="931" t="s">
        <v>431</v>
      </c>
      <c r="E71" s="937"/>
      <c r="F71" s="937"/>
      <c r="G71" s="937"/>
      <c r="H71" s="937"/>
      <c r="I71" s="937"/>
      <c r="J71" s="937"/>
      <c r="K71" s="937"/>
      <c r="L71" s="938"/>
      <c r="M71" s="478"/>
      <c r="N71" s="615"/>
    </row>
    <row r="72" spans="1:14" ht="4.1500000000000004" customHeight="1" thickBot="1">
      <c r="A72" s="619"/>
      <c r="B72" s="627"/>
      <c r="C72" s="632"/>
      <c r="D72" s="631"/>
      <c r="E72" s="631"/>
      <c r="F72" s="631"/>
      <c r="G72" s="630"/>
      <c r="H72" s="630"/>
      <c r="I72" s="630"/>
      <c r="J72" s="630"/>
      <c r="K72" s="630"/>
      <c r="L72" s="630"/>
      <c r="M72" s="478"/>
      <c r="N72" s="615"/>
    </row>
    <row r="73" spans="1:14" ht="112.9" customHeight="1" thickBot="1">
      <c r="A73" s="612"/>
      <c r="B73" s="624"/>
      <c r="C73" s="557" t="s">
        <v>797</v>
      </c>
      <c r="D73" s="931" t="s">
        <v>765</v>
      </c>
      <c r="E73" s="937"/>
      <c r="F73" s="937"/>
      <c r="G73" s="937"/>
      <c r="H73" s="937"/>
      <c r="I73" s="937"/>
      <c r="J73" s="937"/>
      <c r="K73" s="937"/>
      <c r="L73" s="938"/>
      <c r="M73" s="478"/>
      <c r="N73" s="615"/>
    </row>
    <row r="74" spans="1:14" ht="4.1500000000000004" customHeight="1" thickBot="1">
      <c r="A74" s="612"/>
      <c r="B74" s="624"/>
      <c r="C74" s="629"/>
      <c r="D74" s="630"/>
      <c r="E74" s="630"/>
      <c r="F74" s="630"/>
      <c r="G74" s="631"/>
      <c r="H74" s="631"/>
      <c r="I74" s="631"/>
      <c r="J74" s="631"/>
      <c r="K74" s="631"/>
      <c r="L74" s="631"/>
      <c r="M74" s="478"/>
      <c r="N74" s="615"/>
    </row>
    <row r="75" spans="1:14" ht="74.25" customHeight="1" thickBot="1">
      <c r="A75" s="612"/>
      <c r="B75" s="624"/>
      <c r="C75" s="556" t="s">
        <v>446</v>
      </c>
      <c r="D75" s="942" t="s">
        <v>766</v>
      </c>
      <c r="E75" s="943"/>
      <c r="F75" s="943"/>
      <c r="G75" s="943"/>
      <c r="H75" s="943"/>
      <c r="I75" s="943"/>
      <c r="J75" s="943"/>
      <c r="K75" s="943"/>
      <c r="L75" s="944"/>
      <c r="M75" s="478"/>
      <c r="N75" s="615"/>
    </row>
    <row r="76" spans="1:14" ht="6.75" customHeight="1" thickBot="1">
      <c r="A76" s="612"/>
      <c r="B76" s="620"/>
      <c r="C76" s="621"/>
      <c r="D76" s="622"/>
      <c r="E76" s="622"/>
      <c r="F76" s="622"/>
      <c r="G76" s="622"/>
      <c r="H76" s="622"/>
      <c r="I76" s="622"/>
      <c r="J76" s="622"/>
      <c r="K76" s="622"/>
      <c r="L76" s="622"/>
      <c r="M76" s="623"/>
      <c r="N76" s="615"/>
    </row>
    <row r="77" spans="1:14" ht="12.75" hidden="1" customHeight="1" thickTop="1">
      <c r="N77" s="615"/>
    </row>
    <row r="78" spans="1:14" hidden="1">
      <c r="N78" s="615"/>
    </row>
    <row r="79" spans="1:14" hidden="1">
      <c r="N79" s="614"/>
    </row>
    <row r="80" spans="1:14" hidden="1">
      <c r="N80" s="614"/>
    </row>
    <row r="81" spans="14:14" hidden="1">
      <c r="N81" s="614"/>
    </row>
    <row r="82" spans="14:14" hidden="1">
      <c r="N82" s="614"/>
    </row>
    <row r="83" spans="14:14" hidden="1">
      <c r="N83" s="614"/>
    </row>
    <row r="84" spans="14:14" hidden="1">
      <c r="N84" s="614"/>
    </row>
    <row r="85" spans="14:14" hidden="1">
      <c r="N85" s="614"/>
    </row>
    <row r="86" spans="14:14" hidden="1">
      <c r="N86" s="614"/>
    </row>
    <row r="87" spans="14:14" hidden="1">
      <c r="N87" s="614"/>
    </row>
    <row r="88" spans="14:14" hidden="1">
      <c r="N88" s="614"/>
    </row>
    <row r="89" spans="14:14" hidden="1">
      <c r="N89" s="614"/>
    </row>
    <row r="90" spans="14:14" hidden="1">
      <c r="N90" s="614"/>
    </row>
    <row r="91" spans="14:14" hidden="1">
      <c r="N91" s="614"/>
    </row>
    <row r="92" spans="14:14" hidden="1">
      <c r="N92" s="614"/>
    </row>
    <row r="93" spans="14:14" hidden="1">
      <c r="N93" s="614"/>
    </row>
    <row r="94" spans="14:14" hidden="1">
      <c r="N94" s="614"/>
    </row>
    <row r="95" spans="14:14" hidden="1">
      <c r="N95" s="614"/>
    </row>
    <row r="96" spans="14:14" hidden="1">
      <c r="N96" s="614"/>
    </row>
    <row r="97" spans="14:14" hidden="1">
      <c r="N97" s="614"/>
    </row>
    <row r="98" spans="14:14" hidden="1">
      <c r="N98" s="614"/>
    </row>
    <row r="99" spans="14:14" hidden="1">
      <c r="N99" s="614"/>
    </row>
    <row r="100" spans="14:14" hidden="1">
      <c r="N100" s="614"/>
    </row>
    <row r="101" spans="14:14" hidden="1">
      <c r="N101" s="614"/>
    </row>
    <row r="102" spans="14:14" hidden="1">
      <c r="N102" s="614"/>
    </row>
    <row r="103" spans="14:14" hidden="1">
      <c r="N103" s="614"/>
    </row>
    <row r="104" spans="14:14" hidden="1">
      <c r="N104" s="614"/>
    </row>
    <row r="105" spans="14:14" hidden="1">
      <c r="N105" s="614"/>
    </row>
    <row r="106" spans="14:14" hidden="1">
      <c r="N106" s="614"/>
    </row>
    <row r="107" spans="14:14" hidden="1">
      <c r="N107" s="614"/>
    </row>
    <row r="108" spans="14:14" hidden="1">
      <c r="N108" s="614"/>
    </row>
    <row r="109" spans="14:14" hidden="1">
      <c r="N109" s="614"/>
    </row>
    <row r="110" spans="14:14" hidden="1">
      <c r="N110" s="614"/>
    </row>
    <row r="111" spans="14:14" hidden="1">
      <c r="N111" s="614"/>
    </row>
    <row r="112" spans="14:14" hidden="1">
      <c r="N112" s="614"/>
    </row>
    <row r="113" spans="14:14" hidden="1">
      <c r="N113" s="614"/>
    </row>
    <row r="114" spans="14:14" hidden="1">
      <c r="N114" s="614"/>
    </row>
    <row r="115" spans="14:14" hidden="1">
      <c r="N115" s="614"/>
    </row>
    <row r="116" spans="14:14" hidden="1">
      <c r="N116" s="614"/>
    </row>
    <row r="117" spans="14:14" hidden="1">
      <c r="N117" s="614"/>
    </row>
    <row r="118" spans="14:14" hidden="1">
      <c r="N118" s="614"/>
    </row>
    <row r="119" spans="14:14" hidden="1">
      <c r="N119" s="614"/>
    </row>
    <row r="120" spans="14:14" hidden="1">
      <c r="N120" s="614"/>
    </row>
    <row r="121" spans="14:14" hidden="1">
      <c r="N121" s="614"/>
    </row>
    <row r="122" spans="14:14" hidden="1">
      <c r="N122" s="614"/>
    </row>
    <row r="123" spans="14:14" hidden="1">
      <c r="N123" s="614"/>
    </row>
    <row r="124" spans="14:14" hidden="1">
      <c r="N124" s="614"/>
    </row>
    <row r="125" spans="14:14" hidden="1">
      <c r="N125" s="614"/>
    </row>
    <row r="126" spans="14:14" hidden="1">
      <c r="N126" s="614"/>
    </row>
    <row r="127" spans="14:14" hidden="1">
      <c r="N127" s="614"/>
    </row>
    <row r="128" spans="14:14" hidden="1">
      <c r="N128" s="614"/>
    </row>
    <row r="129" spans="14:14" hidden="1">
      <c r="N129" s="614"/>
    </row>
    <row r="130" spans="14:14" hidden="1">
      <c r="N130" s="614"/>
    </row>
    <row r="131" spans="14:14" hidden="1">
      <c r="N131" s="614"/>
    </row>
    <row r="132" spans="14:14" hidden="1">
      <c r="N132" s="614"/>
    </row>
    <row r="133" spans="14:14" hidden="1">
      <c r="N133" s="614"/>
    </row>
    <row r="134" spans="14:14" hidden="1">
      <c r="N134" s="614"/>
    </row>
    <row r="135" spans="14:14" hidden="1">
      <c r="N135" s="614"/>
    </row>
    <row r="136" spans="14:14" hidden="1">
      <c r="N136" s="614"/>
    </row>
    <row r="137" spans="14:14" hidden="1">
      <c r="N137" s="614"/>
    </row>
    <row r="138" spans="14:14" hidden="1">
      <c r="N138" s="614"/>
    </row>
    <row r="139" spans="14:14" hidden="1">
      <c r="N139" s="614"/>
    </row>
    <row r="140" spans="14:14" hidden="1">
      <c r="N140" s="614"/>
    </row>
    <row r="141" spans="14:14" hidden="1">
      <c r="N141" s="614"/>
    </row>
    <row r="142" spans="14:14" hidden="1">
      <c r="N142" s="614"/>
    </row>
    <row r="143" spans="14:14" hidden="1">
      <c r="N143" s="614"/>
    </row>
    <row r="144" spans="14:14" hidden="1">
      <c r="N144" s="614"/>
    </row>
    <row r="145" spans="14:14" hidden="1">
      <c r="N145" s="614"/>
    </row>
    <row r="146" spans="14:14" hidden="1">
      <c r="N146" s="614"/>
    </row>
    <row r="147" spans="14:14" hidden="1">
      <c r="N147" s="614"/>
    </row>
    <row r="148" spans="14:14" hidden="1">
      <c r="N148" s="614"/>
    </row>
    <row r="149" spans="14:14" hidden="1">
      <c r="N149" s="614"/>
    </row>
    <row r="150" spans="14:14" hidden="1">
      <c r="N150" s="614"/>
    </row>
    <row r="151" spans="14:14" hidden="1">
      <c r="N151" s="614"/>
    </row>
    <row r="152" spans="14:14" hidden="1">
      <c r="N152" s="614"/>
    </row>
    <row r="153" spans="14:14" hidden="1">
      <c r="N153" s="614"/>
    </row>
    <row r="154" spans="14:14" hidden="1">
      <c r="N154" s="614"/>
    </row>
    <row r="155" spans="14:14" hidden="1">
      <c r="N155" s="614"/>
    </row>
    <row r="156" spans="14:14" hidden="1">
      <c r="N156" s="614"/>
    </row>
    <row r="157" spans="14:14" hidden="1">
      <c r="N157" s="614"/>
    </row>
    <row r="158" spans="14:14" hidden="1">
      <c r="N158" s="614"/>
    </row>
    <row r="159" spans="14:14" hidden="1">
      <c r="N159" s="614"/>
    </row>
    <row r="160" spans="14:14" hidden="1">
      <c r="N160" s="614"/>
    </row>
    <row r="161" spans="1:14" hidden="1">
      <c r="N161" s="614"/>
    </row>
    <row r="162" spans="1:14" hidden="1">
      <c r="N162" s="614"/>
    </row>
    <row r="163" spans="1:14" hidden="1">
      <c r="N163" s="614"/>
    </row>
    <row r="164" spans="1:14" hidden="1">
      <c r="N164" s="614"/>
    </row>
    <row r="165" spans="1:14" hidden="1">
      <c r="N165" s="614"/>
    </row>
    <row r="166" spans="1:14" hidden="1">
      <c r="N166" s="614"/>
    </row>
    <row r="167" spans="1:14" hidden="1">
      <c r="N167" s="614"/>
    </row>
    <row r="168" spans="1:14" hidden="1">
      <c r="N168" s="614"/>
    </row>
    <row r="169" spans="1:14" hidden="1">
      <c r="N169" s="614"/>
    </row>
    <row r="170" spans="1:14" hidden="1">
      <c r="N170" s="614"/>
    </row>
    <row r="171" spans="1:14" ht="29.45" hidden="1" customHeight="1" thickTop="1">
      <c r="N171" s="614"/>
    </row>
    <row r="172" spans="1:14" ht="7.9" customHeight="1" thickTop="1">
      <c r="A172" s="612"/>
      <c r="B172" s="612"/>
      <c r="C172" s="613"/>
      <c r="D172" s="614"/>
      <c r="E172" s="614"/>
      <c r="F172" s="614"/>
      <c r="G172" s="614"/>
      <c r="H172" s="614"/>
      <c r="I172" s="614"/>
      <c r="J172" s="614"/>
      <c r="K172" s="614"/>
      <c r="L172" s="614"/>
      <c r="M172" s="614"/>
      <c r="N172" s="614"/>
    </row>
    <row r="173" spans="1:14" hidden="1"/>
    <row r="174" spans="1:14" hidden="1"/>
  </sheetData>
  <sheetProtection password="8B16" sheet="1" objects="1" scenarios="1"/>
  <mergeCells count="41">
    <mergeCell ref="D75:L75"/>
    <mergeCell ref="E55:F55"/>
    <mergeCell ref="D73:L73"/>
    <mergeCell ref="D69:L69"/>
    <mergeCell ref="D59:L59"/>
    <mergeCell ref="D61:L61"/>
    <mergeCell ref="D63:L63"/>
    <mergeCell ref="D71:L71"/>
    <mergeCell ref="D65:L65"/>
    <mergeCell ref="D67:L67"/>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D42:L42"/>
    <mergeCell ref="D14:L14"/>
    <mergeCell ref="D28:L28"/>
    <mergeCell ref="D6:L6"/>
    <mergeCell ref="D30:L30"/>
    <mergeCell ref="D20:L20"/>
    <mergeCell ref="D22:L22"/>
    <mergeCell ref="D24:L24"/>
    <mergeCell ref="D16:L16"/>
    <mergeCell ref="D18:L18"/>
    <mergeCell ref="B2:M3"/>
    <mergeCell ref="D4:L4"/>
    <mergeCell ref="D8:L8"/>
    <mergeCell ref="D10:L10"/>
    <mergeCell ref="D12:L12"/>
  </mergeCells>
  <phoneticPr fontId="0" type="noConversion"/>
  <dataValidations disablePrompts="1" count="1">
    <dataValidation type="list" allowBlank="1" showInputMessage="1" showErrorMessage="1" sqref="G55 J55">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v5.0&amp;R&amp;A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79998168889431442"/>
  </sheetPr>
  <dimension ref="A1:IU98"/>
  <sheetViews>
    <sheetView showGridLines="0" showRowColHeaders="0" zoomScaleNormal="100" workbookViewId="0">
      <pane ySplit="6" topLeftCell="A7" activePane="bottomLeft" state="frozen"/>
      <selection activeCell="J22" sqref="J22:J25"/>
      <selection pane="bottomLeft" activeCell="J22" sqref="C22:R25"/>
    </sheetView>
  </sheetViews>
  <sheetFormatPr defaultColWidth="0" defaultRowHeight="0" customHeight="1" zeroHeight="1"/>
  <cols>
    <col min="1" max="1" width="1.42578125" style="19" customWidth="1"/>
    <col min="2" max="2" width="1.28515625" style="19" customWidth="1"/>
    <col min="3" max="3" width="19.140625" style="1" customWidth="1"/>
    <col min="4" max="18" width="8.28515625" style="1" customWidth="1"/>
    <col min="19" max="19" width="1.140625" style="169" customWidth="1"/>
    <col min="20" max="20" width="1.42578125" style="90" customWidth="1"/>
    <col min="21" max="21" width="2.140625" style="147" hidden="1" customWidth="1"/>
    <col min="22" max="22" width="3" style="147" hidden="1" customWidth="1"/>
    <col min="23" max="255" width="0" style="1" hidden="1" customWidth="1"/>
    <col min="256" max="16384" width="3.140625" style="1" hidden="1"/>
  </cols>
  <sheetData>
    <row r="1" spans="1:22" s="18" customFormat="1" ht="8.25" customHeight="1" thickBot="1">
      <c r="A1" s="638"/>
      <c r="B1" s="638"/>
      <c r="C1" s="639"/>
      <c r="D1" s="639"/>
      <c r="E1" s="639"/>
      <c r="F1" s="639"/>
      <c r="G1" s="639"/>
      <c r="H1" s="639"/>
      <c r="I1" s="639"/>
      <c r="J1" s="639"/>
      <c r="K1" s="639"/>
      <c r="L1" s="639"/>
      <c r="M1" s="639"/>
      <c r="N1" s="639"/>
      <c r="O1" s="639"/>
      <c r="P1" s="639"/>
      <c r="Q1" s="639"/>
      <c r="R1" s="639"/>
      <c r="S1" s="640"/>
      <c r="T1" s="639"/>
      <c r="U1" s="147"/>
      <c r="V1" s="147"/>
    </row>
    <row r="2" spans="1:22" ht="42" customHeight="1" thickTop="1">
      <c r="A2" s="638"/>
      <c r="B2" s="1023" t="s">
        <v>394</v>
      </c>
      <c r="C2" s="1024"/>
      <c r="D2" s="1024"/>
      <c r="E2" s="1024"/>
      <c r="F2" s="1024"/>
      <c r="G2" s="1024"/>
      <c r="H2" s="1024"/>
      <c r="I2" s="1024"/>
      <c r="J2" s="1024"/>
      <c r="K2" s="1024"/>
      <c r="L2" s="1024"/>
      <c r="M2" s="1024"/>
      <c r="N2" s="1024"/>
      <c r="O2" s="1024"/>
      <c r="P2" s="1024"/>
      <c r="Q2" s="1024"/>
      <c r="R2" s="1024"/>
      <c r="S2" s="1025"/>
      <c r="T2" s="641"/>
      <c r="U2" s="168"/>
    </row>
    <row r="3" spans="1:22" ht="5.45" customHeight="1">
      <c r="A3" s="638"/>
      <c r="B3" s="452"/>
      <c r="C3" s="453"/>
      <c r="D3" s="453"/>
      <c r="E3" s="453"/>
      <c r="F3" s="453"/>
      <c r="G3" s="453"/>
      <c r="H3" s="453"/>
      <c r="I3" s="453"/>
      <c r="J3" s="453"/>
      <c r="K3" s="453"/>
      <c r="L3" s="453"/>
      <c r="M3" s="453"/>
      <c r="N3" s="453"/>
      <c r="O3" s="453"/>
      <c r="P3" s="453"/>
      <c r="Q3" s="453"/>
      <c r="R3" s="453"/>
      <c r="S3" s="454"/>
      <c r="T3" s="642"/>
      <c r="U3" s="167"/>
    </row>
    <row r="4" spans="1:22" ht="16.899999999999999" customHeight="1">
      <c r="A4" s="638"/>
      <c r="B4" s="452"/>
      <c r="C4" s="453"/>
      <c r="D4" s="453"/>
      <c r="E4" s="218"/>
      <c r="F4" s="365" t="s">
        <v>193</v>
      </c>
      <c r="G4" s="968" t="str">
        <f>IF(ISBLANK(Instructions!D18),"&lt;&lt; Please enter system details and contact information on the Instructions tab &gt;&gt;",Instructions!D18&amp;IF(ISBLANK(Instructions!D36),"","  ("&amp;Instructions!D36&amp;")"))</f>
        <v>Sunnyslope County Water District  (CA3510003)</v>
      </c>
      <c r="H4" s="969"/>
      <c r="I4" s="969"/>
      <c r="J4" s="969"/>
      <c r="K4" s="969"/>
      <c r="L4" s="969"/>
      <c r="M4" s="969"/>
      <c r="N4" s="969"/>
      <c r="O4" s="970"/>
      <c r="P4" s="453"/>
      <c r="Q4" s="453"/>
      <c r="R4" s="453"/>
      <c r="S4" s="454"/>
      <c r="T4" s="642"/>
      <c r="U4" s="167"/>
    </row>
    <row r="5" spans="1:22" ht="16.899999999999999" customHeight="1">
      <c r="A5" s="638"/>
      <c r="B5" s="452"/>
      <c r="C5" s="453"/>
      <c r="D5" s="453"/>
      <c r="E5" s="217"/>
      <c r="F5" s="365" t="s">
        <v>194</v>
      </c>
      <c r="G5" s="772">
        <f>IF(ISBLANK(Instructions!D26),"",Instructions!D26)</f>
        <v>2018</v>
      </c>
      <c r="H5" s="971" t="str">
        <f>IF(ISBLANK(Instructions!D26),"",IF(Instructions!E26="Calendar Year","1/"&amp;Instructions!D26&amp;" - "&amp;"12/"&amp;Instructions!D26,IF(OR(ISBLANK(Instructions!D28),ISBLANK(Instructions!D30)),"",MONTH(Instructions!D28)&amp;"/"&amp;YEAR(Instructions!D28)&amp;" - "&amp;MONTH(Instructions!D30)&amp;"/"&amp;YEAR(Instructions!D30))))</f>
        <v>7/2018 - 6/2019</v>
      </c>
      <c r="I5" s="972"/>
      <c r="J5" s="453"/>
      <c r="K5" s="453"/>
      <c r="L5" s="453"/>
      <c r="M5" s="453"/>
      <c r="N5" s="453"/>
      <c r="O5" s="453"/>
      <c r="P5" s="453"/>
      <c r="Q5" s="453"/>
      <c r="R5" s="453"/>
      <c r="S5" s="454"/>
      <c r="T5" s="642"/>
      <c r="U5" s="167"/>
    </row>
    <row r="6" spans="1:22" ht="16.899999999999999" customHeight="1">
      <c r="A6" s="638"/>
      <c r="B6" s="452"/>
      <c r="C6" s="453"/>
      <c r="D6" s="453"/>
      <c r="E6" s="217"/>
      <c r="F6" s="365" t="s">
        <v>727</v>
      </c>
      <c r="G6" s="770">
        <f>IF(ISBLANK(Instructions!$D$34),"N/A*",IF(GradingAssessment!M24&gt;0,"N/A*",ROUND(GradingAssessment!G24,0)))</f>
        <v>51</v>
      </c>
      <c r="H6" s="766" t="str">
        <f>IF(G6="N/A*","* Confirm Units and Data Grading are Complete","")</f>
        <v/>
      </c>
      <c r="I6" s="771"/>
      <c r="J6" s="453"/>
      <c r="K6" s="453"/>
      <c r="L6" s="453"/>
      <c r="M6" s="453"/>
      <c r="N6" s="453"/>
      <c r="O6" s="453"/>
      <c r="P6" s="453"/>
      <c r="Q6" s="453"/>
      <c r="R6" s="453"/>
      <c r="S6" s="454"/>
      <c r="T6" s="642"/>
      <c r="U6" s="167"/>
    </row>
    <row r="7" spans="1:22" ht="6" customHeight="1" thickBot="1">
      <c r="A7" s="638"/>
      <c r="B7" s="452"/>
      <c r="C7" s="453"/>
      <c r="D7" s="453"/>
      <c r="E7" s="453"/>
      <c r="F7" s="453"/>
      <c r="G7" s="453"/>
      <c r="H7" s="453"/>
      <c r="I7" s="453"/>
      <c r="J7" s="453"/>
      <c r="K7" s="453"/>
      <c r="L7" s="453"/>
      <c r="M7" s="453"/>
      <c r="N7" s="453"/>
      <c r="O7" s="453"/>
      <c r="P7" s="453"/>
      <c r="Q7" s="453"/>
      <c r="R7" s="453"/>
      <c r="S7" s="454"/>
      <c r="T7" s="642"/>
      <c r="U7" s="167"/>
    </row>
    <row r="8" spans="1:22" ht="25.9" customHeight="1" thickBot="1">
      <c r="A8" s="638"/>
      <c r="B8" s="452"/>
      <c r="C8" s="973" t="s">
        <v>168</v>
      </c>
      <c r="D8" s="974"/>
      <c r="E8" s="974"/>
      <c r="F8" s="974"/>
      <c r="G8" s="974"/>
      <c r="H8" s="974"/>
      <c r="I8" s="974"/>
      <c r="J8" s="974"/>
      <c r="K8" s="974"/>
      <c r="L8" s="974"/>
      <c r="M8" s="974"/>
      <c r="N8" s="974"/>
      <c r="O8" s="974"/>
      <c r="P8" s="974"/>
      <c r="Q8" s="974"/>
      <c r="R8" s="975"/>
      <c r="S8" s="454"/>
      <c r="T8" s="642"/>
      <c r="U8" s="167"/>
    </row>
    <row r="9" spans="1:22" ht="18.75" customHeight="1" thickTop="1">
      <c r="A9" s="638"/>
      <c r="B9" s="452"/>
      <c r="C9" s="163"/>
      <c r="D9" s="982" t="s">
        <v>133</v>
      </c>
      <c r="E9" s="983"/>
      <c r="F9" s="983"/>
      <c r="G9" s="983"/>
      <c r="H9" s="983"/>
      <c r="I9" s="983"/>
      <c r="J9" s="983"/>
      <c r="K9" s="983"/>
      <c r="L9" s="983"/>
      <c r="M9" s="983"/>
      <c r="N9" s="983"/>
      <c r="O9" s="983"/>
      <c r="P9" s="983"/>
      <c r="Q9" s="983"/>
      <c r="R9" s="984"/>
      <c r="S9" s="454"/>
      <c r="T9" s="642"/>
      <c r="U9" s="167"/>
    </row>
    <row r="10" spans="1:22" ht="34.5" customHeight="1" thickBot="1">
      <c r="A10" s="638"/>
      <c r="B10" s="452"/>
      <c r="C10" s="458" t="s">
        <v>169</v>
      </c>
      <c r="D10" s="985" t="s">
        <v>176</v>
      </c>
      <c r="E10" s="980"/>
      <c r="F10" s="981"/>
      <c r="G10" s="979" t="s">
        <v>325</v>
      </c>
      <c r="H10" s="980"/>
      <c r="I10" s="981"/>
      <c r="J10" s="979" t="s">
        <v>326</v>
      </c>
      <c r="K10" s="980"/>
      <c r="L10" s="981"/>
      <c r="M10" s="979" t="s">
        <v>327</v>
      </c>
      <c r="N10" s="980"/>
      <c r="O10" s="981"/>
      <c r="P10" s="979" t="s">
        <v>328</v>
      </c>
      <c r="Q10" s="980"/>
      <c r="R10" s="998"/>
      <c r="S10" s="454"/>
      <c r="T10" s="642"/>
      <c r="U10" s="167"/>
    </row>
    <row r="11" spans="1:22" ht="66.75" customHeight="1" thickTop="1">
      <c r="A11" s="638"/>
      <c r="B11" s="452"/>
      <c r="C11" s="164" t="s">
        <v>213</v>
      </c>
      <c r="D11" s="1000" t="s">
        <v>214</v>
      </c>
      <c r="E11" s="977"/>
      <c r="F11" s="999"/>
      <c r="G11" s="976" t="s">
        <v>215</v>
      </c>
      <c r="H11" s="977"/>
      <c r="I11" s="999"/>
      <c r="J11" s="976" t="s">
        <v>216</v>
      </c>
      <c r="K11" s="977"/>
      <c r="L11" s="978"/>
      <c r="M11" s="976" t="s">
        <v>36</v>
      </c>
      <c r="N11" s="977"/>
      <c r="O11" s="978"/>
      <c r="P11" s="976" t="s">
        <v>37</v>
      </c>
      <c r="Q11" s="977"/>
      <c r="R11" s="978"/>
      <c r="S11" s="454"/>
      <c r="T11" s="642"/>
      <c r="U11" s="167"/>
    </row>
    <row r="12" spans="1:22" ht="78" customHeight="1">
      <c r="A12" s="638"/>
      <c r="B12" s="452"/>
      <c r="C12" s="165" t="s">
        <v>38</v>
      </c>
      <c r="D12" s="996" t="s">
        <v>39</v>
      </c>
      <c r="E12" s="987"/>
      <c r="F12" s="997"/>
      <c r="G12" s="986" t="s">
        <v>40</v>
      </c>
      <c r="H12" s="987"/>
      <c r="I12" s="997"/>
      <c r="J12" s="986" t="s">
        <v>41</v>
      </c>
      <c r="K12" s="987"/>
      <c r="L12" s="988"/>
      <c r="M12" s="986" t="s">
        <v>42</v>
      </c>
      <c r="N12" s="987"/>
      <c r="O12" s="988"/>
      <c r="P12" s="986" t="s">
        <v>330</v>
      </c>
      <c r="Q12" s="987"/>
      <c r="R12" s="988"/>
      <c r="S12" s="454"/>
      <c r="T12" s="642"/>
      <c r="U12" s="167"/>
    </row>
    <row r="13" spans="1:22" ht="105.75" customHeight="1">
      <c r="A13" s="638"/>
      <c r="B13" s="452"/>
      <c r="C13" s="165" t="s">
        <v>331</v>
      </c>
      <c r="D13" s="989"/>
      <c r="E13" s="990"/>
      <c r="F13" s="991"/>
      <c r="G13" s="992" t="s">
        <v>332</v>
      </c>
      <c r="H13" s="993"/>
      <c r="I13" s="994"/>
      <c r="J13" s="986" t="s">
        <v>207</v>
      </c>
      <c r="K13" s="987"/>
      <c r="L13" s="988"/>
      <c r="M13" s="986" t="s">
        <v>208</v>
      </c>
      <c r="N13" s="987"/>
      <c r="O13" s="988"/>
      <c r="P13" s="986" t="s">
        <v>100</v>
      </c>
      <c r="Q13" s="987"/>
      <c r="R13" s="988"/>
      <c r="S13" s="454"/>
      <c r="T13" s="642"/>
      <c r="U13" s="167"/>
    </row>
    <row r="14" spans="1:22" ht="68.25" customHeight="1">
      <c r="A14" s="638"/>
      <c r="B14" s="452"/>
      <c r="C14" s="165" t="s">
        <v>101</v>
      </c>
      <c r="D14" s="989"/>
      <c r="E14" s="990"/>
      <c r="F14" s="991"/>
      <c r="G14" s="995"/>
      <c r="H14" s="990"/>
      <c r="I14" s="991"/>
      <c r="J14" s="986" t="s">
        <v>102</v>
      </c>
      <c r="K14" s="987"/>
      <c r="L14" s="988"/>
      <c r="M14" s="986" t="s">
        <v>103</v>
      </c>
      <c r="N14" s="987"/>
      <c r="O14" s="988"/>
      <c r="P14" s="986" t="s">
        <v>104</v>
      </c>
      <c r="Q14" s="987"/>
      <c r="R14" s="988"/>
      <c r="S14" s="454"/>
      <c r="T14" s="642"/>
      <c r="U14" s="167"/>
    </row>
    <row r="15" spans="1:22" ht="84" customHeight="1" thickBot="1">
      <c r="A15" s="638"/>
      <c r="B15" s="452"/>
      <c r="C15" s="166" t="s">
        <v>105</v>
      </c>
      <c r="D15" s="1001"/>
      <c r="E15" s="1002"/>
      <c r="F15" s="1003"/>
      <c r="G15" s="1004"/>
      <c r="H15" s="1002"/>
      <c r="I15" s="1003"/>
      <c r="J15" s="1005" t="s">
        <v>130</v>
      </c>
      <c r="K15" s="1006"/>
      <c r="L15" s="1007"/>
      <c r="M15" s="1005" t="s">
        <v>131</v>
      </c>
      <c r="N15" s="1006"/>
      <c r="O15" s="1007"/>
      <c r="P15" s="1005" t="s">
        <v>132</v>
      </c>
      <c r="Q15" s="1006"/>
      <c r="R15" s="1007"/>
      <c r="S15" s="454"/>
      <c r="T15" s="642"/>
      <c r="U15" s="167"/>
    </row>
    <row r="16" spans="1:22" ht="21" customHeight="1" thickTop="1" thickBot="1">
      <c r="A16" s="638"/>
      <c r="B16" s="452"/>
      <c r="C16" s="1011" t="s">
        <v>324</v>
      </c>
      <c r="D16" s="1012"/>
      <c r="E16" s="1012"/>
      <c r="F16" s="1012"/>
      <c r="G16" s="1012"/>
      <c r="H16" s="1012"/>
      <c r="I16" s="1012"/>
      <c r="J16" s="1012"/>
      <c r="K16" s="1012"/>
      <c r="L16" s="1012"/>
      <c r="M16" s="1012"/>
      <c r="N16" s="1012"/>
      <c r="O16" s="1012"/>
      <c r="P16" s="1012"/>
      <c r="Q16" s="1012"/>
      <c r="R16" s="1013"/>
      <c r="S16" s="454"/>
      <c r="T16" s="642"/>
      <c r="U16" s="167"/>
    </row>
    <row r="17" spans="1:22" ht="19.5" customHeight="1" thickBot="1">
      <c r="A17" s="638"/>
      <c r="B17" s="452"/>
      <c r="C17" s="465"/>
      <c r="D17" s="465"/>
      <c r="E17" s="465"/>
      <c r="F17" s="465"/>
      <c r="G17" s="465"/>
      <c r="H17" s="465"/>
      <c r="I17" s="465"/>
      <c r="J17" s="465"/>
      <c r="K17" s="465"/>
      <c r="L17" s="465"/>
      <c r="M17" s="465"/>
      <c r="N17" s="465"/>
      <c r="O17" s="465"/>
      <c r="P17" s="465"/>
      <c r="Q17" s="465"/>
      <c r="R17" s="465"/>
      <c r="S17" s="454"/>
      <c r="T17" s="642"/>
      <c r="U17" s="167"/>
    </row>
    <row r="18" spans="1:22" ht="15.75" hidden="1" customHeight="1">
      <c r="A18" s="639"/>
      <c r="B18" s="455"/>
      <c r="C18" s="184"/>
      <c r="D18" s="185"/>
      <c r="E18" s="186">
        <v>0</v>
      </c>
      <c r="F18" s="186"/>
      <c r="G18" s="186"/>
      <c r="H18" s="186">
        <v>26</v>
      </c>
      <c r="I18" s="186"/>
      <c r="J18" s="186"/>
      <c r="K18" s="186">
        <v>51</v>
      </c>
      <c r="L18" s="186"/>
      <c r="M18" s="186"/>
      <c r="N18" s="186">
        <v>71</v>
      </c>
      <c r="O18" s="186"/>
      <c r="P18" s="186"/>
      <c r="Q18" s="186">
        <v>91</v>
      </c>
      <c r="R18" s="186"/>
      <c r="S18" s="459"/>
      <c r="T18" s="642"/>
      <c r="U18" s="2"/>
      <c r="V18" s="185"/>
    </row>
    <row r="19" spans="1:22" ht="15.75" hidden="1" customHeight="1">
      <c r="A19" s="639"/>
      <c r="B19" s="455"/>
      <c r="C19" s="184"/>
      <c r="D19" s="185"/>
      <c r="E19" s="186">
        <v>25</v>
      </c>
      <c r="F19" s="186"/>
      <c r="G19" s="186"/>
      <c r="H19" s="186">
        <v>51</v>
      </c>
      <c r="I19" s="186"/>
      <c r="J19" s="186"/>
      <c r="K19" s="186">
        <v>71</v>
      </c>
      <c r="L19" s="186"/>
      <c r="M19" s="186"/>
      <c r="N19" s="186">
        <v>91</v>
      </c>
      <c r="O19" s="186"/>
      <c r="P19" s="186"/>
      <c r="Q19" s="186">
        <v>100</v>
      </c>
      <c r="R19" s="186"/>
      <c r="S19" s="459"/>
      <c r="T19" s="642"/>
      <c r="U19" s="2"/>
      <c r="V19" s="185"/>
    </row>
    <row r="20" spans="1:22" ht="11.25" hidden="1" customHeight="1" thickBot="1">
      <c r="A20" s="638"/>
      <c r="B20" s="452"/>
      <c r="C20" s="167"/>
      <c r="D20" s="167"/>
      <c r="E20" s="167">
        <f>IF(AND(GradingAssessment!$G$24&gt;=E18,GradingAssessment!$G$24&lt;='Loss Control Planning'!E19),1,0)</f>
        <v>0</v>
      </c>
      <c r="F20" s="167"/>
      <c r="G20" s="167"/>
      <c r="H20" s="167">
        <f>IF(AND(GradingAssessment!$G$24&gt;=H18,GradingAssessment!$G$24&lt;'Loss Control Planning'!H19),1,0)</f>
        <v>1</v>
      </c>
      <c r="I20" s="167"/>
      <c r="J20" s="167"/>
      <c r="K20" s="167">
        <f>IF(AND(GradingAssessment!$G$24&gt;=K18,GradingAssessment!$G$24&lt;'Loss Control Planning'!K19),1,0)</f>
        <v>0</v>
      </c>
      <c r="L20" s="167"/>
      <c r="M20" s="167"/>
      <c r="N20" s="167">
        <f>IF(AND(GradingAssessment!$G$24&gt;=N18,GradingAssessment!$G$24&lt;'Loss Control Planning'!N19),1,0)</f>
        <v>0</v>
      </c>
      <c r="O20" s="167"/>
      <c r="P20" s="167"/>
      <c r="Q20" s="167">
        <f>IF(AND(GradingAssessment!$G$24&gt;=Q18,GradingAssessment!$G$24&lt;='Loss Control Planning'!Q19),1,0)</f>
        <v>0</v>
      </c>
      <c r="R20" s="167"/>
      <c r="S20" s="454"/>
      <c r="T20" s="642"/>
      <c r="U20" s="167"/>
    </row>
    <row r="21" spans="1:22" ht="94.9" customHeight="1" thickBot="1">
      <c r="A21" s="638"/>
      <c r="B21" s="452"/>
      <c r="C21" s="1008" t="s">
        <v>396</v>
      </c>
      <c r="D21" s="1009"/>
      <c r="E21" s="1009"/>
      <c r="F21" s="1009"/>
      <c r="G21" s="1009"/>
      <c r="H21" s="1009"/>
      <c r="I21" s="1009"/>
      <c r="J21" s="1009"/>
      <c r="K21" s="1009"/>
      <c r="L21" s="1009"/>
      <c r="M21" s="1009"/>
      <c r="N21" s="1009"/>
      <c r="O21" s="1009"/>
      <c r="P21" s="1009"/>
      <c r="Q21" s="1009"/>
      <c r="R21" s="1010"/>
      <c r="S21" s="454"/>
      <c r="T21" s="642"/>
      <c r="U21" s="167"/>
    </row>
    <row r="22" spans="1:22" ht="8.25" customHeight="1" thickBot="1">
      <c r="A22" s="638"/>
      <c r="B22" s="452"/>
      <c r="C22" s="462"/>
      <c r="D22" s="462"/>
      <c r="E22" s="462"/>
      <c r="F22" s="462"/>
      <c r="G22" s="453"/>
      <c r="H22" s="453"/>
      <c r="I22" s="453"/>
      <c r="J22" s="453"/>
      <c r="K22" s="453"/>
      <c r="L22" s="453"/>
      <c r="M22" s="453"/>
      <c r="N22" s="453"/>
      <c r="O22" s="453"/>
      <c r="P22" s="453"/>
      <c r="Q22" s="453"/>
      <c r="R22" s="453"/>
      <c r="S22" s="454"/>
      <c r="T22" s="642"/>
      <c r="U22" s="167"/>
    </row>
    <row r="23" spans="1:22" ht="42" customHeight="1" thickTop="1" thickBot="1">
      <c r="A23" s="638"/>
      <c r="B23" s="452"/>
      <c r="C23" s="1021" t="s">
        <v>395</v>
      </c>
      <c r="D23" s="1022"/>
      <c r="E23" s="1022"/>
      <c r="F23" s="1022"/>
      <c r="G23" s="1022"/>
      <c r="H23" s="1022"/>
      <c r="I23" s="1022"/>
      <c r="J23" s="1022"/>
      <c r="K23" s="1022"/>
      <c r="L23" s="1022"/>
      <c r="M23" s="1022"/>
      <c r="N23" s="1022"/>
      <c r="O23" s="1022"/>
      <c r="P23" s="1022"/>
      <c r="Q23" s="1022"/>
      <c r="R23" s="1022"/>
      <c r="S23" s="454"/>
      <c r="T23" s="642"/>
      <c r="U23" s="167"/>
    </row>
    <row r="24" spans="1:22" ht="26.25" customHeight="1" thickBot="1">
      <c r="A24" s="638"/>
      <c r="B24" s="452"/>
      <c r="C24" s="466" t="s">
        <v>93</v>
      </c>
      <c r="D24" s="1017" t="s">
        <v>96</v>
      </c>
      <c r="E24" s="1018"/>
      <c r="F24" s="1018"/>
      <c r="G24" s="1018"/>
      <c r="H24" s="1019"/>
      <c r="I24" s="1017" t="s">
        <v>94</v>
      </c>
      <c r="J24" s="1018"/>
      <c r="K24" s="1018"/>
      <c r="L24" s="1018"/>
      <c r="M24" s="1019"/>
      <c r="N24" s="1017" t="s">
        <v>95</v>
      </c>
      <c r="O24" s="1018"/>
      <c r="P24" s="1018"/>
      <c r="Q24" s="1018"/>
      <c r="R24" s="1019"/>
      <c r="S24" s="454"/>
      <c r="T24" s="642"/>
      <c r="U24" s="167"/>
    </row>
    <row r="25" spans="1:22" ht="56.45" customHeight="1">
      <c r="A25" s="638"/>
      <c r="B25" s="452">
        <v>1</v>
      </c>
      <c r="C25" s="467" t="s">
        <v>97</v>
      </c>
      <c r="D25" s="1014" t="s">
        <v>44</v>
      </c>
      <c r="E25" s="1015"/>
      <c r="F25" s="1015"/>
      <c r="G25" s="1015"/>
      <c r="H25" s="1016"/>
      <c r="I25" s="1014" t="s">
        <v>46</v>
      </c>
      <c r="J25" s="1015"/>
      <c r="K25" s="1015"/>
      <c r="L25" s="1015"/>
      <c r="M25" s="1016"/>
      <c r="N25" s="1014" t="s">
        <v>48</v>
      </c>
      <c r="O25" s="1015"/>
      <c r="P25" s="1015"/>
      <c r="Q25" s="1015"/>
      <c r="R25" s="1020"/>
      <c r="S25" s="454" t="e">
        <f>IF(AND('Reporting Worksheet'!#REF!&gt;='Loss Control Planning'!U25,'Reporting Worksheet'!#REF!&lt;='Loss Control Planning'!V25),1,0)</f>
        <v>#REF!</v>
      </c>
      <c r="T25" s="642"/>
      <c r="U25" s="167">
        <v>1</v>
      </c>
      <c r="V25" s="170">
        <v>3</v>
      </c>
    </row>
    <row r="26" spans="1:22" ht="56.45" customHeight="1">
      <c r="A26" s="638"/>
      <c r="B26" s="452">
        <v>2</v>
      </c>
      <c r="C26" s="468" t="s">
        <v>291</v>
      </c>
      <c r="D26" s="1026" t="s">
        <v>52</v>
      </c>
      <c r="E26" s="1027"/>
      <c r="F26" s="1027"/>
      <c r="G26" s="1027"/>
      <c r="H26" s="1032"/>
      <c r="I26" s="1026" t="s">
        <v>47</v>
      </c>
      <c r="J26" s="1027"/>
      <c r="K26" s="1027"/>
      <c r="L26" s="1027"/>
      <c r="M26" s="1032"/>
      <c r="N26" s="1026" t="s">
        <v>49</v>
      </c>
      <c r="O26" s="1027"/>
      <c r="P26" s="1027"/>
      <c r="Q26" s="1027"/>
      <c r="R26" s="1028"/>
      <c r="S26" s="454" t="e">
        <f>IF(AND('Reporting Worksheet'!#REF!&gt;='Loss Control Planning'!U26,'Reporting Worksheet'!#REF!&lt;='Loss Control Planning'!V26),1,0)</f>
        <v>#REF!</v>
      </c>
      <c r="T26" s="642"/>
      <c r="U26" s="167">
        <v>3</v>
      </c>
      <c r="V26" s="147">
        <v>5</v>
      </c>
    </row>
    <row r="27" spans="1:22" ht="56.45" customHeight="1">
      <c r="A27" s="638"/>
      <c r="B27" s="452">
        <v>3</v>
      </c>
      <c r="C27" s="469" t="s">
        <v>292</v>
      </c>
      <c r="D27" s="1026" t="s">
        <v>45</v>
      </c>
      <c r="E27" s="1027"/>
      <c r="F27" s="1027"/>
      <c r="G27" s="1027"/>
      <c r="H27" s="1032"/>
      <c r="I27" s="1026" t="s">
        <v>43</v>
      </c>
      <c r="J27" s="1027"/>
      <c r="K27" s="1027"/>
      <c r="L27" s="1027"/>
      <c r="M27" s="1032"/>
      <c r="N27" s="1026" t="s">
        <v>50</v>
      </c>
      <c r="O27" s="1027"/>
      <c r="P27" s="1027"/>
      <c r="Q27" s="1027"/>
      <c r="R27" s="1028"/>
      <c r="S27" s="454" t="e">
        <f>IF(AND('Reporting Worksheet'!#REF!&gt;='Loss Control Planning'!U27,'Reporting Worksheet'!#REF!&lt;='Loss Control Planning'!V27),1,0)</f>
        <v>#REF!</v>
      </c>
      <c r="T27" s="642"/>
      <c r="U27" s="167">
        <v>5</v>
      </c>
      <c r="V27" s="147">
        <v>8</v>
      </c>
    </row>
    <row r="28" spans="1:22" ht="40.9" customHeight="1">
      <c r="A28" s="638"/>
      <c r="B28" s="452"/>
      <c r="C28" s="468" t="s">
        <v>98</v>
      </c>
      <c r="D28" s="1026" t="s">
        <v>51</v>
      </c>
      <c r="E28" s="1027"/>
      <c r="F28" s="1027"/>
      <c r="G28" s="1027"/>
      <c r="H28" s="1027"/>
      <c r="I28" s="1027"/>
      <c r="J28" s="1027"/>
      <c r="K28" s="1027"/>
      <c r="L28" s="1027"/>
      <c r="M28" s="1027"/>
      <c r="N28" s="1027"/>
      <c r="O28" s="1027"/>
      <c r="P28" s="1027"/>
      <c r="Q28" s="1027"/>
      <c r="R28" s="1028"/>
      <c r="S28" s="454" t="e">
        <f>IF('Reporting Worksheet'!#REF!&gt;'Loss Control Planning'!U28,1,0)</f>
        <v>#REF!</v>
      </c>
      <c r="T28" s="642"/>
      <c r="U28" s="167">
        <v>8</v>
      </c>
    </row>
    <row r="29" spans="1:22" ht="76.150000000000006" customHeight="1" thickBot="1">
      <c r="A29" s="638"/>
      <c r="B29" s="452">
        <v>4</v>
      </c>
      <c r="C29" s="470" t="s">
        <v>235</v>
      </c>
      <c r="D29" s="1029" t="s">
        <v>81</v>
      </c>
      <c r="E29" s="1030"/>
      <c r="F29" s="1030"/>
      <c r="G29" s="1030"/>
      <c r="H29" s="1030"/>
      <c r="I29" s="1030"/>
      <c r="J29" s="1030"/>
      <c r="K29" s="1030"/>
      <c r="L29" s="1030"/>
      <c r="M29" s="1030"/>
      <c r="N29" s="1030"/>
      <c r="O29" s="1030"/>
      <c r="P29" s="1030"/>
      <c r="Q29" s="1030"/>
      <c r="R29" s="1031"/>
      <c r="S29" s="454" t="e">
        <f>IF('Reporting Worksheet'!#REF!&lt;1,1,0)</f>
        <v>#REF!</v>
      </c>
      <c r="T29" s="642"/>
      <c r="U29" s="167">
        <v>1</v>
      </c>
    </row>
    <row r="30" spans="1:22" ht="9" customHeight="1">
      <c r="A30" s="638"/>
      <c r="B30" s="452"/>
      <c r="C30" s="462"/>
      <c r="D30" s="462"/>
      <c r="E30" s="462"/>
      <c r="F30" s="462"/>
      <c r="G30" s="453"/>
      <c r="H30" s="453"/>
      <c r="I30" s="453"/>
      <c r="J30" s="453"/>
      <c r="K30" s="453"/>
      <c r="L30" s="453"/>
      <c r="M30" s="453"/>
      <c r="N30" s="453"/>
      <c r="O30" s="453"/>
      <c r="P30" s="453"/>
      <c r="Q30" s="453"/>
      <c r="R30" s="453"/>
      <c r="S30" s="454"/>
      <c r="T30" s="642"/>
      <c r="U30" s="167"/>
    </row>
    <row r="31" spans="1:22" ht="0" hidden="1" customHeight="1">
      <c r="A31" s="638"/>
      <c r="B31" s="456"/>
      <c r="C31" s="463"/>
      <c r="D31" s="463"/>
      <c r="E31" s="463"/>
      <c r="F31" s="463"/>
      <c r="G31" s="463"/>
      <c r="H31" s="463"/>
      <c r="I31" s="463"/>
      <c r="J31" s="463"/>
      <c r="K31" s="463"/>
      <c r="L31" s="463"/>
      <c r="M31" s="463"/>
      <c r="N31" s="463"/>
      <c r="O31" s="463"/>
      <c r="P31" s="463"/>
      <c r="Q31" s="463"/>
      <c r="R31" s="463"/>
      <c r="S31" s="460"/>
      <c r="T31" s="639"/>
    </row>
    <row r="32" spans="1:22" ht="0" hidden="1" customHeight="1">
      <c r="A32" s="638"/>
      <c r="B32" s="456"/>
      <c r="C32" s="463"/>
      <c r="D32" s="463"/>
      <c r="E32" s="463"/>
      <c r="F32" s="463"/>
      <c r="G32" s="463"/>
      <c r="H32" s="463"/>
      <c r="I32" s="463"/>
      <c r="J32" s="463"/>
      <c r="K32" s="463"/>
      <c r="L32" s="463"/>
      <c r="M32" s="463"/>
      <c r="N32" s="463"/>
      <c r="O32" s="463"/>
      <c r="P32" s="463"/>
      <c r="Q32" s="463"/>
      <c r="R32" s="463"/>
      <c r="S32" s="460"/>
      <c r="T32" s="639"/>
    </row>
    <row r="33" spans="1:21" ht="0" hidden="1" customHeight="1">
      <c r="A33" s="638"/>
      <c r="B33" s="456"/>
      <c r="C33" s="463"/>
      <c r="D33" s="463"/>
      <c r="E33" s="463"/>
      <c r="F33" s="463"/>
      <c r="G33" s="463"/>
      <c r="H33" s="463"/>
      <c r="I33" s="463"/>
      <c r="J33" s="463"/>
      <c r="K33" s="463"/>
      <c r="L33" s="463"/>
      <c r="M33" s="463"/>
      <c r="N33" s="463"/>
      <c r="O33" s="463"/>
      <c r="P33" s="463"/>
      <c r="Q33" s="463"/>
      <c r="R33" s="463"/>
      <c r="S33" s="460"/>
      <c r="T33" s="639"/>
    </row>
    <row r="34" spans="1:21" ht="6" customHeight="1" thickBot="1">
      <c r="A34" s="638"/>
      <c r="B34" s="457"/>
      <c r="C34" s="464"/>
      <c r="D34" s="464"/>
      <c r="E34" s="464"/>
      <c r="F34" s="464"/>
      <c r="G34" s="464"/>
      <c r="H34" s="464"/>
      <c r="I34" s="464"/>
      <c r="J34" s="464"/>
      <c r="K34" s="464"/>
      <c r="L34" s="464"/>
      <c r="M34" s="464"/>
      <c r="N34" s="464"/>
      <c r="O34" s="464"/>
      <c r="P34" s="464"/>
      <c r="Q34" s="464"/>
      <c r="R34" s="464"/>
      <c r="S34" s="461"/>
      <c r="T34" s="642"/>
      <c r="U34" s="167"/>
    </row>
    <row r="35" spans="1:21" ht="7.5" customHeight="1" thickTop="1">
      <c r="A35" s="638"/>
      <c r="B35" s="638"/>
      <c r="C35" s="639"/>
      <c r="D35" s="639"/>
      <c r="E35" s="639"/>
      <c r="F35" s="639"/>
      <c r="G35" s="639"/>
      <c r="H35" s="639"/>
      <c r="I35" s="639"/>
      <c r="J35" s="639"/>
      <c r="K35" s="639"/>
      <c r="L35" s="639"/>
      <c r="M35" s="639"/>
      <c r="N35" s="639"/>
      <c r="O35" s="639"/>
      <c r="P35" s="639"/>
      <c r="Q35" s="639"/>
      <c r="R35" s="639"/>
      <c r="S35" s="640"/>
      <c r="T35" s="639"/>
    </row>
    <row r="36" spans="1:21" ht="13.5" hidden="1"/>
    <row r="37" spans="1:21" ht="13.5" hidden="1"/>
    <row r="38" spans="1:21" ht="13.5" hidden="1"/>
    <row r="39" spans="1:21" ht="13.5" hidden="1"/>
    <row r="40" spans="1:21" ht="13.5" hidden="1"/>
    <row r="41" spans="1:21" ht="13.5" hidden="1"/>
    <row r="42" spans="1:21" ht="13.5" hidden="1"/>
    <row r="43" spans="1:21" ht="13.5" hidden="1"/>
    <row r="44" spans="1:21" ht="13.5" hidden="1"/>
    <row r="45" spans="1:21" ht="13.5" hidden="1"/>
    <row r="46" spans="1:21" ht="13.5" hidden="1"/>
    <row r="47" spans="1:21" ht="13.5" hidden="1"/>
    <row r="48" spans="1:21"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customHeight="1"/>
  </sheetData>
  <sheetProtection password="8B16" sheet="1" objects="1" scenarios="1" selectLockedCells="1"/>
  <mergeCells count="52">
    <mergeCell ref="B2:S2"/>
    <mergeCell ref="N26:R26"/>
    <mergeCell ref="N27:R27"/>
    <mergeCell ref="D28:R28"/>
    <mergeCell ref="D29:R29"/>
    <mergeCell ref="D26:H26"/>
    <mergeCell ref="D27:H27"/>
    <mergeCell ref="I26:M26"/>
    <mergeCell ref="I27:M27"/>
    <mergeCell ref="D24:H24"/>
    <mergeCell ref="C21:R21"/>
    <mergeCell ref="C16:R16"/>
    <mergeCell ref="D25:H25"/>
    <mergeCell ref="N24:R24"/>
    <mergeCell ref="N25:R25"/>
    <mergeCell ref="I24:M24"/>
    <mergeCell ref="I25:M25"/>
    <mergeCell ref="C23:R23"/>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H5:I5"/>
    <mergeCell ref="C8:R8"/>
    <mergeCell ref="J11:L11"/>
    <mergeCell ref="M11:O11"/>
    <mergeCell ref="P11:R11"/>
    <mergeCell ref="J10:L10"/>
    <mergeCell ref="M10:O10"/>
    <mergeCell ref="D9:R9"/>
    <mergeCell ref="D10:F10"/>
  </mergeCells>
  <phoneticPr fontId="0" type="noConversion"/>
  <conditionalFormatting sqref="C16:R17">
    <cfRule type="expression" dxfId="47" priority="1" stopIfTrue="1">
      <formula>OR(E20=1,H20=1)</formula>
    </cfRule>
  </conditionalFormatting>
  <conditionalFormatting sqref="P10:R15">
    <cfRule type="expression" dxfId="46" priority="2" stopIfTrue="1">
      <formula>$Q$20=1</formula>
    </cfRule>
  </conditionalFormatting>
  <conditionalFormatting sqref="M10:O15">
    <cfRule type="expression" dxfId="45" priority="3" stopIfTrue="1">
      <formula>$N$20=1</formula>
    </cfRule>
  </conditionalFormatting>
  <conditionalFormatting sqref="J10:L15">
    <cfRule type="expression" dxfId="44" priority="4" stopIfTrue="1">
      <formula>$K$20=1</formula>
    </cfRule>
  </conditionalFormatting>
  <conditionalFormatting sqref="G10:I13">
    <cfRule type="expression" dxfId="43" priority="5" stopIfTrue="1">
      <formula>$H$20=1</formula>
    </cfRule>
  </conditionalFormatting>
  <conditionalFormatting sqref="D10:F12">
    <cfRule type="expression" dxfId="42" priority="6" stopIfTrue="1">
      <formula>$E$20=1</formula>
    </cfRule>
  </conditionalFormatting>
  <conditionalFormatting sqref="C26:R26">
    <cfRule type="expression" dxfId="41" priority="7" stopIfTrue="1">
      <formula>$S$26=1</formula>
    </cfRule>
  </conditionalFormatting>
  <conditionalFormatting sqref="C27:R27">
    <cfRule type="expression" dxfId="40" priority="8" stopIfTrue="1">
      <formula>$S$27=1</formula>
    </cfRule>
  </conditionalFormatting>
  <conditionalFormatting sqref="C28:R28">
    <cfRule type="expression" dxfId="39" priority="9" stopIfTrue="1">
      <formula>$S$28=1</formula>
    </cfRule>
  </conditionalFormatting>
  <conditionalFormatting sqref="C29:R29">
    <cfRule type="expression" dxfId="38" priority="10" stopIfTrue="1">
      <formula>$S$29=1</formula>
    </cfRule>
  </conditionalFormatting>
  <conditionalFormatting sqref="C25">
    <cfRule type="expression" dxfId="37" priority="11" stopIfTrue="1">
      <formula>$S$25=1</formula>
    </cfRule>
  </conditionalFormatting>
  <conditionalFormatting sqref="D25:H25">
    <cfRule type="expression" dxfId="36" priority="12" stopIfTrue="1">
      <formula>S25=1</formula>
    </cfRule>
  </conditionalFormatting>
  <conditionalFormatting sqref="I25:M25">
    <cfRule type="expression" dxfId="35" priority="13" stopIfTrue="1">
      <formula>S25=1</formula>
    </cfRule>
  </conditionalFormatting>
  <conditionalFormatting sqref="N25:R25">
    <cfRule type="expression" dxfId="34" priority="14" stopIfTrue="1">
      <formula>S25=1</formula>
    </cfRule>
  </conditionalFormatting>
  <printOptions horizontalCentered="1" verticalCentered="1"/>
  <pageMargins left="0.75" right="0.75" top="0.67" bottom="0.76" header="0.5" footer="0.5"/>
  <pageSetup scale="78" orientation="landscape" horizontalDpi="1200" r:id="rId1"/>
  <headerFooter alignWithMargins="0">
    <oddFooter>&amp;CAWWA Free Water Audit Software v5.0&amp;R&amp;A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79998168889431442"/>
    <pageSetUpPr fitToPage="1"/>
  </sheetPr>
  <dimension ref="A1:P328"/>
  <sheetViews>
    <sheetView showGridLines="0" showRowColHeaders="0" workbookViewId="0">
      <pane ySplit="2" topLeftCell="A3" activePane="bottomLeft" state="frozen"/>
      <selection activeCell="J22" sqref="J22:J25"/>
      <selection pane="bottomLeft" activeCell="J22" sqref="J22:J25"/>
    </sheetView>
  </sheetViews>
  <sheetFormatPr defaultColWidth="0" defaultRowHeight="13.5" zeroHeight="1"/>
  <cols>
    <col min="1" max="4" width="9.7109375" style="24" customWidth="1"/>
    <col min="5" max="5" width="9.7109375" style="135" customWidth="1"/>
    <col min="6" max="16" width="9.7109375" style="24" customWidth="1"/>
    <col min="17" max="17" width="1.28515625" style="24" customWidth="1"/>
    <col min="18" max="16384" width="0" style="24" hidden="1"/>
  </cols>
  <sheetData>
    <row r="1" spans="1:16" ht="48" customHeight="1" thickTop="1">
      <c r="A1" s="1023" t="s">
        <v>791</v>
      </c>
      <c r="B1" s="1024"/>
      <c r="C1" s="1024"/>
      <c r="D1" s="1024"/>
      <c r="E1" s="1024"/>
      <c r="F1" s="1024"/>
      <c r="G1" s="1024"/>
      <c r="H1" s="1024"/>
      <c r="I1" s="1024"/>
      <c r="J1" s="1024"/>
      <c r="K1" s="1024"/>
      <c r="L1" s="1024"/>
      <c r="M1" s="1024"/>
      <c r="N1" s="1024"/>
      <c r="O1" s="1024"/>
      <c r="P1" s="1025"/>
    </row>
    <row r="2" spans="1:16" ht="34.9" customHeight="1"/>
    <row r="3" spans="1:16"/>
    <row r="4" spans="1:16"/>
    <row r="5" spans="1:16"/>
    <row r="6" spans="1:16"/>
    <row r="7" spans="1:16"/>
    <row r="8" spans="1:16"/>
    <row r="9" spans="1:16"/>
    <row r="10" spans="1:16"/>
    <row r="11" spans="1:16"/>
    <row r="12" spans="1:16"/>
    <row r="13" spans="1:16"/>
    <row r="14" spans="1:16"/>
    <row r="15" spans="1:16"/>
    <row r="16" spans="1: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hidden="1"/>
    <row r="326" hidden="1"/>
    <row r="327" hidden="1"/>
    <row r="328" hidden="1"/>
  </sheetData>
  <sheetProtection password="8B16" sheet="1" objects="1" scenarios="1"/>
  <mergeCells count="1">
    <mergeCell ref="A1:P1"/>
  </mergeCells>
  <phoneticPr fontId="0" type="noConversion"/>
  <printOptions horizontalCentered="1" verticalCentered="1"/>
  <pageMargins left="0.25" right="0.25" top="0.5" bottom="0.5" header="0.3" footer="0.3"/>
  <pageSetup scale="67" fitToHeight="0" orientation="portrait" horizontalDpi="1200" r:id="rId1"/>
  <headerFooter alignWithMargins="0">
    <oddFooter>&amp;CAWWA Free Water Audit Software v5.0&amp;R&amp;A      &amp;P</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indexed="43"/>
    <pageSetUpPr fitToPage="1"/>
  </sheetPr>
  <dimension ref="A1:Q179"/>
  <sheetViews>
    <sheetView showGridLines="0" workbookViewId="0">
      <pane ySplit="6" topLeftCell="A7" activePane="bottomLeft" state="frozen"/>
      <selection activeCell="B2" sqref="B2:O2"/>
      <selection pane="bottomLeft" activeCell="B2" sqref="B2:O2"/>
    </sheetView>
  </sheetViews>
  <sheetFormatPr defaultColWidth="0" defaultRowHeight="13.5" zeroHeight="1"/>
  <cols>
    <col min="1" max="1" width="0.7109375" style="24" customWidth="1"/>
    <col min="2" max="2" width="1.85546875" style="24" customWidth="1"/>
    <col min="3" max="3" width="57.85546875" style="24" customWidth="1"/>
    <col min="4" max="4" width="6.28515625" style="24" customWidth="1"/>
    <col min="5" max="5" width="3.5703125" style="135" customWidth="1"/>
    <col min="6" max="6" width="0.7109375" style="24" customWidth="1"/>
    <col min="7" max="7" width="17.85546875" style="24" customWidth="1"/>
    <col min="8" max="8" width="1" style="24" customWidth="1"/>
    <col min="9" max="9" width="21" style="24" customWidth="1"/>
    <col min="10" max="10" width="6.42578125" style="24" customWidth="1"/>
    <col min="11" max="11" width="9" style="24" customWidth="1"/>
    <col min="12" max="12" width="8" style="24" customWidth="1"/>
    <col min="13" max="13" width="10.85546875" style="24" customWidth="1"/>
    <col min="14" max="14" width="2.85546875" style="24" customWidth="1"/>
    <col min="15" max="15" width="2.140625" style="24" customWidth="1"/>
    <col min="16" max="16" width="3.85546875" style="24" hidden="1" customWidth="1"/>
    <col min="17" max="16384" width="0" style="24" hidden="1"/>
  </cols>
  <sheetData>
    <row r="1" spans="1:16" s="42" customFormat="1" ht="6.75" customHeight="1" thickBot="1">
      <c r="A1" s="42">
        <v>0</v>
      </c>
      <c r="E1" s="122"/>
    </row>
    <row r="2" spans="1:16" s="31" customFormat="1" ht="37.5" customHeight="1" thickTop="1" thickBot="1">
      <c r="A2" s="42"/>
      <c r="B2" s="1038" t="s">
        <v>26</v>
      </c>
      <c r="C2" s="1039"/>
      <c r="D2" s="1039"/>
      <c r="E2" s="1039"/>
      <c r="F2" s="1039"/>
      <c r="G2" s="1039"/>
      <c r="H2" s="1039"/>
      <c r="I2" s="1039"/>
      <c r="J2" s="1039"/>
      <c r="K2" s="50"/>
      <c r="L2" s="50"/>
      <c r="M2" s="50"/>
      <c r="N2" s="51"/>
    </row>
    <row r="3" spans="1:16" s="31" customFormat="1" ht="8.25" customHeight="1" thickTop="1">
      <c r="A3" s="42"/>
      <c r="B3" s="43"/>
      <c r="C3" s="52"/>
      <c r="D3" s="3"/>
      <c r="E3" s="123"/>
      <c r="F3" s="3"/>
      <c r="G3" s="4"/>
      <c r="H3" s="4"/>
      <c r="I3" s="4"/>
      <c r="J3" s="4"/>
      <c r="K3" s="4"/>
      <c r="L3" s="4"/>
      <c r="M3" s="4"/>
      <c r="N3" s="44"/>
    </row>
    <row r="4" spans="1:16" s="31" customFormat="1">
      <c r="A4" s="42"/>
      <c r="B4" s="43"/>
      <c r="C4" s="53" t="s">
        <v>193</v>
      </c>
      <c r="D4" s="54" t="s">
        <v>4</v>
      </c>
      <c r="E4" s="124"/>
      <c r="F4" s="55"/>
      <c r="G4" s="45"/>
      <c r="H4" s="45"/>
      <c r="I4" s="45"/>
      <c r="J4" s="45"/>
      <c r="K4" s="56"/>
      <c r="L4" s="4"/>
      <c r="M4" s="4"/>
      <c r="N4" s="44"/>
    </row>
    <row r="5" spans="1:16" s="31" customFormat="1">
      <c r="A5" s="42"/>
      <c r="B5" s="43"/>
      <c r="C5" s="57" t="s">
        <v>194</v>
      </c>
      <c r="D5" s="1042">
        <v>2008</v>
      </c>
      <c r="E5" s="1043"/>
      <c r="F5" s="58"/>
      <c r="G5" s="1046" t="s">
        <v>210</v>
      </c>
      <c r="H5" s="1047"/>
      <c r="I5" s="59"/>
      <c r="J5" s="59"/>
      <c r="K5" s="59"/>
      <c r="L5" s="4"/>
      <c r="M5" s="4"/>
      <c r="N5" s="44"/>
    </row>
    <row r="6" spans="1:16" s="31" customFormat="1" ht="3.75" customHeight="1">
      <c r="A6" s="42"/>
      <c r="B6" s="43"/>
      <c r="C6" s="57"/>
      <c r="D6" s="3"/>
      <c r="E6" s="123"/>
      <c r="F6" s="3"/>
      <c r="G6" s="4"/>
      <c r="H6" s="4"/>
      <c r="I6" s="4"/>
      <c r="J6" s="4"/>
      <c r="K6" s="4"/>
      <c r="L6" s="4"/>
      <c r="M6" s="4"/>
      <c r="N6" s="44"/>
    </row>
    <row r="7" spans="1:16" s="31" customFormat="1" ht="18" customHeight="1">
      <c r="A7" s="42"/>
      <c r="B7" s="43"/>
      <c r="C7" s="1040"/>
      <c r="D7" s="1041"/>
      <c r="E7" s="1041"/>
      <c r="F7" s="1041"/>
      <c r="G7" s="1041"/>
      <c r="H7" s="1041"/>
      <c r="I7" s="1041"/>
      <c r="J7" s="1041"/>
      <c r="K7" s="1041"/>
      <c r="L7" s="1041"/>
      <c r="M7" s="1041"/>
      <c r="N7" s="44"/>
    </row>
    <row r="8" spans="1:16" s="31" customFormat="1" ht="13.5" customHeight="1">
      <c r="A8" s="42"/>
      <c r="B8" s="43"/>
      <c r="C8" s="1041"/>
      <c r="D8" s="1041"/>
      <c r="E8" s="1041"/>
      <c r="F8" s="1041"/>
      <c r="G8" s="1041"/>
      <c r="H8" s="1041"/>
      <c r="I8" s="1041"/>
      <c r="J8" s="1041"/>
      <c r="K8" s="1041"/>
      <c r="L8" s="1041"/>
      <c r="M8" s="1041"/>
      <c r="N8" s="44"/>
    </row>
    <row r="9" spans="1:16" s="31" customFormat="1" ht="15" customHeight="1">
      <c r="A9" s="42"/>
      <c r="B9" s="43"/>
      <c r="C9" s="60"/>
      <c r="D9" s="60"/>
      <c r="E9" s="125"/>
      <c r="F9" s="60"/>
      <c r="G9" s="61" t="s">
        <v>178</v>
      </c>
      <c r="H9" s="60"/>
      <c r="I9" s="60"/>
      <c r="J9" s="60"/>
      <c r="K9" s="60"/>
      <c r="L9" s="60"/>
      <c r="M9" s="60"/>
      <c r="N9" s="44"/>
    </row>
    <row r="10" spans="1:16" s="31" customFormat="1" ht="3" customHeight="1">
      <c r="A10" s="42"/>
      <c r="B10" s="43"/>
      <c r="C10" s="7"/>
      <c r="D10" s="6"/>
      <c r="E10" s="126"/>
      <c r="F10" s="6"/>
      <c r="G10" s="7"/>
      <c r="H10" s="7"/>
      <c r="I10" s="7"/>
      <c r="J10" s="7"/>
      <c r="K10" s="7"/>
      <c r="L10" s="7"/>
      <c r="M10" s="7"/>
      <c r="N10" s="44"/>
    </row>
    <row r="11" spans="1:16" s="31" customFormat="1" ht="6" customHeight="1">
      <c r="A11" s="42"/>
      <c r="B11" s="43"/>
      <c r="C11" s="3"/>
      <c r="D11" s="3"/>
      <c r="E11" s="123"/>
      <c r="F11" s="3"/>
      <c r="G11" s="13"/>
      <c r="H11" s="13"/>
      <c r="I11" s="13"/>
      <c r="J11" s="13"/>
      <c r="K11" s="13"/>
      <c r="L11" s="13"/>
      <c r="M11" s="13"/>
      <c r="N11" s="44"/>
    </row>
    <row r="12" spans="1:16" s="31" customFormat="1" ht="14.25" customHeight="1">
      <c r="A12" s="42"/>
      <c r="B12" s="43"/>
      <c r="C12" s="3" t="s">
        <v>295</v>
      </c>
      <c r="D12" s="1048" t="s">
        <v>286</v>
      </c>
      <c r="E12" s="1035"/>
      <c r="F12" s="1035"/>
      <c r="G12" s="1035"/>
      <c r="H12" s="1035"/>
      <c r="I12" s="1035"/>
      <c r="J12" s="13"/>
      <c r="K12" s="13"/>
      <c r="L12" s="13"/>
      <c r="M12" s="13"/>
      <c r="N12" s="44"/>
      <c r="P12" s="187"/>
    </row>
    <row r="13" spans="1:16" s="31" customFormat="1" ht="2.25" customHeight="1">
      <c r="A13" s="42"/>
      <c r="B13" s="43"/>
      <c r="C13" s="3"/>
      <c r="D13" s="3"/>
      <c r="E13" s="3"/>
      <c r="F13" s="3"/>
      <c r="G13" s="3"/>
      <c r="H13" s="3"/>
      <c r="I13" s="3"/>
      <c r="J13" s="13"/>
      <c r="K13" s="13"/>
      <c r="L13" s="13"/>
      <c r="M13" s="13"/>
      <c r="N13" s="44"/>
      <c r="P13" s="187"/>
    </row>
    <row r="14" spans="1:16" s="31" customFormat="1">
      <c r="A14" s="42"/>
      <c r="B14" s="43"/>
      <c r="C14" s="46" t="s">
        <v>221</v>
      </c>
      <c r="D14" s="40"/>
      <c r="E14" s="191">
        <v>7</v>
      </c>
      <c r="F14" s="12"/>
      <c r="G14" s="192">
        <v>213977</v>
      </c>
      <c r="H14" s="5"/>
      <c r="I14" s="193" t="s">
        <v>179</v>
      </c>
      <c r="J14" s="62"/>
      <c r="K14" s="63"/>
      <c r="L14" s="26"/>
      <c r="M14" s="26"/>
      <c r="N14" s="44"/>
    </row>
    <row r="15" spans="1:16" s="31" customFormat="1">
      <c r="A15" s="42"/>
      <c r="B15" s="43"/>
      <c r="C15" s="46" t="s">
        <v>329</v>
      </c>
      <c r="D15" s="3"/>
      <c r="E15" s="191">
        <v>4</v>
      </c>
      <c r="F15" s="12"/>
      <c r="G15" s="192">
        <v>0</v>
      </c>
      <c r="H15" s="5"/>
      <c r="I15" s="1044"/>
      <c r="J15" s="1045"/>
      <c r="K15" s="1049" t="s">
        <v>172</v>
      </c>
      <c r="L15" s="1050"/>
      <c r="M15" s="1050"/>
      <c r="N15" s="44"/>
    </row>
    <row r="16" spans="1:16" s="31" customFormat="1">
      <c r="A16" s="42"/>
      <c r="B16" s="43"/>
      <c r="C16" s="46" t="s">
        <v>6</v>
      </c>
      <c r="D16" s="3"/>
      <c r="E16" s="191" t="s">
        <v>77</v>
      </c>
      <c r="F16" s="12"/>
      <c r="G16" s="192">
        <v>0</v>
      </c>
      <c r="H16" s="5"/>
      <c r="I16" s="193" t="s">
        <v>172</v>
      </c>
      <c r="J16" s="108" t="s">
        <v>177</v>
      </c>
      <c r="K16" s="63"/>
      <c r="L16" s="26"/>
      <c r="M16" s="188"/>
      <c r="N16" s="44"/>
    </row>
    <row r="17" spans="1:17" s="31" customFormat="1">
      <c r="A17" s="42"/>
      <c r="B17" s="43"/>
      <c r="C17" s="46" t="s">
        <v>7</v>
      </c>
      <c r="D17" s="3"/>
      <c r="E17" s="191">
        <v>7</v>
      </c>
      <c r="F17" s="12"/>
      <c r="G17" s="192">
        <v>26457.5</v>
      </c>
      <c r="H17" s="5"/>
      <c r="I17" s="193" t="s">
        <v>172</v>
      </c>
      <c r="J17" s="62"/>
      <c r="K17" s="63"/>
      <c r="L17" s="26"/>
      <c r="M17" s="26"/>
      <c r="N17" s="44"/>
    </row>
    <row r="18" spans="1:17" s="31" customFormat="1" ht="6" customHeight="1">
      <c r="A18" s="42"/>
      <c r="B18" s="43"/>
      <c r="C18" s="9"/>
      <c r="D18" s="9"/>
      <c r="E18" s="176"/>
      <c r="F18" s="12"/>
      <c r="G18" s="64"/>
      <c r="H18" s="5"/>
      <c r="I18" s="13"/>
      <c r="J18" s="62"/>
      <c r="K18" s="63"/>
      <c r="L18" s="4"/>
      <c r="M18" s="4"/>
      <c r="N18" s="44"/>
    </row>
    <row r="19" spans="1:17" s="31" customFormat="1">
      <c r="A19" s="42"/>
      <c r="B19" s="43"/>
      <c r="C19" s="65" t="s">
        <v>294</v>
      </c>
      <c r="D19" s="29"/>
      <c r="E19" s="176"/>
      <c r="F19" s="12"/>
      <c r="G19" s="107">
        <v>187519.5</v>
      </c>
      <c r="H19" s="5"/>
      <c r="I19" s="193" t="s">
        <v>172</v>
      </c>
      <c r="J19" s="66"/>
      <c r="K19" s="63"/>
      <c r="L19" s="13"/>
      <c r="M19" s="62"/>
      <c r="N19" s="44"/>
    </row>
    <row r="20" spans="1:17" s="31" customFormat="1" ht="5.25" customHeight="1">
      <c r="A20" s="42"/>
      <c r="B20" s="43"/>
      <c r="C20" s="10"/>
      <c r="D20" s="10"/>
      <c r="E20" s="177"/>
      <c r="F20" s="10"/>
      <c r="G20" s="7"/>
      <c r="H20" s="7"/>
      <c r="I20" s="7"/>
      <c r="J20" s="8"/>
      <c r="K20" s="8"/>
      <c r="L20" s="8"/>
      <c r="M20" s="7"/>
      <c r="N20" s="44"/>
    </row>
    <row r="21" spans="1:17" s="31" customFormat="1" ht="6" customHeight="1">
      <c r="A21" s="42"/>
      <c r="B21" s="43"/>
      <c r="C21" s="12"/>
      <c r="D21" s="12"/>
      <c r="E21" s="176" t="s">
        <v>31</v>
      </c>
      <c r="F21" s="12"/>
      <c r="G21" s="4"/>
      <c r="H21" s="4"/>
      <c r="I21" s="4"/>
      <c r="J21" s="13"/>
      <c r="K21" s="13"/>
      <c r="L21" s="13"/>
      <c r="M21" s="4"/>
      <c r="N21" s="44"/>
    </row>
    <row r="22" spans="1:17" s="31" customFormat="1">
      <c r="A22" s="42"/>
      <c r="B22" s="43"/>
      <c r="C22" s="3" t="s">
        <v>296</v>
      </c>
      <c r="D22" s="3"/>
      <c r="E22" s="178"/>
      <c r="F22" s="3"/>
      <c r="G22" s="3"/>
      <c r="H22" s="3"/>
      <c r="I22" s="3"/>
      <c r="J22" s="3"/>
      <c r="K22" s="3"/>
      <c r="L22" s="3"/>
      <c r="M22" s="3"/>
      <c r="N22" s="44"/>
    </row>
    <row r="23" spans="1:17" s="31" customFormat="1">
      <c r="A23" s="42"/>
      <c r="B23" s="43"/>
      <c r="C23" s="46" t="s">
        <v>222</v>
      </c>
      <c r="D23" s="9"/>
      <c r="E23" s="191">
        <v>7</v>
      </c>
      <c r="F23" s="12"/>
      <c r="G23" s="192">
        <v>163665</v>
      </c>
      <c r="H23" s="5"/>
      <c r="I23" s="193" t="s">
        <v>172</v>
      </c>
      <c r="J23" s="62"/>
      <c r="K23" s="63"/>
      <c r="L23" s="4"/>
      <c r="M23" s="4"/>
      <c r="N23" s="44"/>
      <c r="P23" s="17"/>
      <c r="Q23" s="17"/>
    </row>
    <row r="24" spans="1:17" s="31" customFormat="1">
      <c r="A24" s="42"/>
      <c r="B24" s="43"/>
      <c r="C24" s="46" t="s">
        <v>223</v>
      </c>
      <c r="D24" s="9"/>
      <c r="E24" s="191">
        <v>2</v>
      </c>
      <c r="F24" s="12"/>
      <c r="G24" s="192">
        <v>433.9</v>
      </c>
      <c r="H24" s="5"/>
      <c r="I24" s="193" t="s">
        <v>172</v>
      </c>
      <c r="J24" s="62"/>
      <c r="K24" s="63"/>
      <c r="L24" s="46"/>
      <c r="M24" s="46"/>
      <c r="N24" s="44"/>
      <c r="P24" s="17"/>
      <c r="Q24" s="17"/>
    </row>
    <row r="25" spans="1:17" s="31" customFormat="1">
      <c r="A25" s="42"/>
      <c r="B25" s="43"/>
      <c r="C25" s="46" t="s">
        <v>224</v>
      </c>
      <c r="D25" s="9"/>
      <c r="E25" s="191">
        <v>8</v>
      </c>
      <c r="F25" s="12"/>
      <c r="G25" s="192">
        <v>1768.4</v>
      </c>
      <c r="H25" s="5"/>
      <c r="I25" s="193" t="s">
        <v>172</v>
      </c>
      <c r="J25" s="103" t="s">
        <v>247</v>
      </c>
      <c r="K25" s="105"/>
      <c r="L25" s="4" t="s">
        <v>246</v>
      </c>
      <c r="M25" s="4"/>
      <c r="N25" s="44"/>
      <c r="P25" s="17"/>
      <c r="Q25" s="17"/>
    </row>
    <row r="26" spans="1:17" s="31" customFormat="1" ht="15" customHeight="1">
      <c r="A26" s="42"/>
      <c r="B26" s="43"/>
      <c r="C26" s="46" t="s">
        <v>225</v>
      </c>
      <c r="D26" s="9"/>
      <c r="E26" s="191">
        <v>5</v>
      </c>
      <c r="F26" s="12"/>
      <c r="G26" s="107">
        <v>230.1</v>
      </c>
      <c r="H26" s="5"/>
      <c r="I26" s="193" t="s">
        <v>172</v>
      </c>
      <c r="J26" s="109">
        <v>1.2500000000000001E-2</v>
      </c>
      <c r="K26" s="42"/>
      <c r="L26" s="1033">
        <v>230.1</v>
      </c>
      <c r="M26" s="1037"/>
      <c r="N26" s="44"/>
      <c r="P26" s="24">
        <v>2</v>
      </c>
      <c r="Q26" s="17"/>
    </row>
    <row r="27" spans="1:17" s="31" customFormat="1" ht="2.25" customHeight="1">
      <c r="A27" s="42"/>
      <c r="B27" s="43"/>
      <c r="C27" s="46"/>
      <c r="D27" s="46"/>
      <c r="E27" s="9"/>
      <c r="F27" s="9"/>
      <c r="G27" s="9"/>
      <c r="H27" s="9"/>
      <c r="I27" s="193"/>
      <c r="J27" s="193"/>
      <c r="K27" s="193"/>
      <c r="L27" s="193"/>
      <c r="M27" s="193"/>
      <c r="N27" s="44"/>
      <c r="P27" s="24"/>
      <c r="Q27" s="17"/>
    </row>
    <row r="28" spans="1:17" s="31" customFormat="1" ht="15" customHeight="1">
      <c r="A28" s="42"/>
      <c r="B28" s="43"/>
      <c r="C28" s="1035" t="s">
        <v>177</v>
      </c>
      <c r="D28" s="1035"/>
      <c r="E28" s="1035"/>
      <c r="F28" s="1035"/>
      <c r="G28" s="1035"/>
      <c r="H28" s="1035"/>
      <c r="I28" s="1035"/>
      <c r="J28" s="1035"/>
      <c r="K28" s="193"/>
      <c r="L28" s="193"/>
      <c r="M28" s="193"/>
      <c r="N28" s="44"/>
      <c r="P28" s="24"/>
      <c r="Q28" s="17"/>
    </row>
    <row r="29" spans="1:17" s="31" customFormat="1" ht="2.25" customHeight="1">
      <c r="A29" s="42"/>
      <c r="B29" s="43"/>
      <c r="C29" s="9"/>
      <c r="D29" s="9"/>
      <c r="E29" s="13"/>
      <c r="F29" s="171"/>
      <c r="G29" s="5"/>
      <c r="H29" s="5"/>
      <c r="I29" s="13"/>
      <c r="J29" s="63"/>
      <c r="K29" s="63"/>
      <c r="L29" s="67"/>
      <c r="M29" s="4"/>
      <c r="N29" s="44"/>
      <c r="P29" s="24"/>
      <c r="Q29" s="17"/>
    </row>
    <row r="30" spans="1:17" s="31" customFormat="1" ht="15" customHeight="1">
      <c r="A30" s="42"/>
      <c r="B30" s="43"/>
      <c r="C30" s="65" t="s">
        <v>293</v>
      </c>
      <c r="D30" s="29"/>
      <c r="E30" s="128"/>
      <c r="F30" s="12"/>
      <c r="G30" s="107">
        <v>166097.4</v>
      </c>
      <c r="H30" s="5"/>
      <c r="I30" s="193" t="s">
        <v>172</v>
      </c>
      <c r="J30" s="63"/>
      <c r="K30" s="63"/>
      <c r="L30" s="62"/>
      <c r="M30" s="62"/>
      <c r="N30" s="44"/>
      <c r="P30" s="24"/>
      <c r="Q30" s="17"/>
    </row>
    <row r="31" spans="1:17" s="31" customFormat="1" ht="2.25" customHeight="1">
      <c r="A31" s="42"/>
      <c r="B31" s="43"/>
      <c r="C31" s="9"/>
      <c r="D31" s="9"/>
      <c r="E31" s="194"/>
      <c r="F31" s="5"/>
      <c r="G31" s="63"/>
      <c r="H31" s="5"/>
      <c r="I31" s="63"/>
      <c r="J31" s="63"/>
      <c r="K31" s="63"/>
      <c r="L31" s="68"/>
      <c r="M31" s="62"/>
      <c r="N31" s="44"/>
      <c r="P31" s="24"/>
      <c r="Q31" s="17"/>
    </row>
    <row r="32" spans="1:17" s="31" customFormat="1" ht="15" customHeight="1">
      <c r="A32" s="42"/>
      <c r="B32" s="43"/>
      <c r="C32" s="195" t="s">
        <v>177</v>
      </c>
      <c r="D32" s="196"/>
      <c r="E32" s="196"/>
      <c r="F32" s="196"/>
      <c r="G32" s="196"/>
      <c r="H32" s="196"/>
      <c r="I32" s="196"/>
      <c r="J32" s="196"/>
      <c r="K32" s="63"/>
      <c r="L32" s="68"/>
      <c r="M32" s="62"/>
      <c r="N32" s="44"/>
      <c r="P32" s="24"/>
      <c r="Q32" s="17"/>
    </row>
    <row r="33" spans="1:17" s="31" customFormat="1" ht="3" customHeight="1">
      <c r="A33" s="42"/>
      <c r="B33" s="43"/>
      <c r="C33" s="10"/>
      <c r="D33" s="10"/>
      <c r="E33" s="129"/>
      <c r="F33" s="10"/>
      <c r="G33" s="7"/>
      <c r="H33" s="7"/>
      <c r="I33" s="7"/>
      <c r="J33" s="8"/>
      <c r="K33" s="8"/>
      <c r="L33" s="8"/>
      <c r="M33" s="7"/>
      <c r="N33" s="44"/>
      <c r="P33" s="24"/>
      <c r="Q33" s="17"/>
    </row>
    <row r="34" spans="1:17" s="31" customFormat="1" ht="6" customHeight="1">
      <c r="A34" s="42"/>
      <c r="B34" s="43"/>
      <c r="C34" s="12"/>
      <c r="D34" s="12"/>
      <c r="E34" s="128"/>
      <c r="F34" s="12"/>
      <c r="G34" s="4"/>
      <c r="H34" s="4"/>
      <c r="I34" s="4"/>
      <c r="J34" s="13"/>
      <c r="K34" s="13"/>
      <c r="L34" s="13"/>
      <c r="M34" s="4"/>
      <c r="N34" s="44"/>
      <c r="P34" s="24"/>
      <c r="Q34" s="17"/>
    </row>
    <row r="35" spans="1:17" s="31" customFormat="1" ht="15" customHeight="1">
      <c r="A35" s="42"/>
      <c r="B35" s="43"/>
      <c r="C35" s="3" t="s">
        <v>297</v>
      </c>
      <c r="D35" s="3"/>
      <c r="E35" s="128"/>
      <c r="F35" s="3"/>
      <c r="G35" s="107">
        <v>21422.1</v>
      </c>
      <c r="H35" s="4"/>
      <c r="I35" s="193" t="s">
        <v>172</v>
      </c>
      <c r="J35" s="4"/>
      <c r="K35" s="1036"/>
      <c r="L35" s="4"/>
      <c r="M35" s="4"/>
      <c r="N35" s="44"/>
      <c r="P35" s="24"/>
      <c r="Q35" s="17"/>
    </row>
    <row r="36" spans="1:17" s="31" customFormat="1" ht="5.25" customHeight="1">
      <c r="A36" s="42"/>
      <c r="B36" s="43"/>
      <c r="C36" s="3"/>
      <c r="D36" s="3"/>
      <c r="E36" s="128"/>
      <c r="F36" s="3"/>
      <c r="G36" s="4"/>
      <c r="H36" s="4"/>
      <c r="I36" s="4"/>
      <c r="J36" s="4"/>
      <c r="K36" s="1036"/>
      <c r="L36" s="4"/>
      <c r="M36" s="4"/>
      <c r="N36" s="44"/>
      <c r="P36" s="24"/>
      <c r="Q36" s="17"/>
    </row>
    <row r="37" spans="1:17" s="31" customFormat="1">
      <c r="A37" s="42"/>
      <c r="B37" s="43"/>
      <c r="C37" s="69" t="s">
        <v>140</v>
      </c>
      <c r="D37" s="9"/>
      <c r="E37" s="128"/>
      <c r="F37" s="9"/>
      <c r="G37" s="4"/>
      <c r="H37" s="4"/>
      <c r="I37" s="4"/>
      <c r="J37" s="103" t="s">
        <v>247</v>
      </c>
      <c r="K37" s="105"/>
      <c r="L37" s="4" t="s">
        <v>246</v>
      </c>
      <c r="M37" s="4"/>
      <c r="N37" s="44"/>
      <c r="P37" s="24"/>
      <c r="Q37" s="17"/>
    </row>
    <row r="38" spans="1:17" s="31" customFormat="1" ht="15" customHeight="1">
      <c r="A38" s="42"/>
      <c r="B38" s="43"/>
      <c r="C38" s="46" t="s">
        <v>226</v>
      </c>
      <c r="D38" s="9"/>
      <c r="E38" s="191">
        <v>5</v>
      </c>
      <c r="F38" s="9"/>
      <c r="G38" s="107">
        <v>886.8</v>
      </c>
      <c r="H38" s="70"/>
      <c r="I38" s="193" t="s">
        <v>172</v>
      </c>
      <c r="J38" s="109">
        <v>2.5000000000000001E-3</v>
      </c>
      <c r="K38" s="91"/>
      <c r="L38" s="1033">
        <v>886.8</v>
      </c>
      <c r="M38" s="1034"/>
      <c r="N38" s="44"/>
      <c r="P38" s="24">
        <v>2</v>
      </c>
      <c r="Q38" s="17"/>
    </row>
    <row r="39" spans="1:17" s="31" customFormat="1" ht="2.25" customHeight="1">
      <c r="A39" s="42"/>
      <c r="B39" s="43"/>
      <c r="C39" s="63"/>
      <c r="D39" s="63"/>
      <c r="E39" s="63"/>
      <c r="F39" s="63"/>
      <c r="G39" s="63"/>
      <c r="H39" s="63"/>
      <c r="I39" s="63"/>
      <c r="J39" s="63"/>
      <c r="K39" s="5"/>
      <c r="L39" s="5"/>
      <c r="M39" s="4"/>
      <c r="N39" s="44"/>
      <c r="P39" s="24"/>
      <c r="Q39" s="17"/>
    </row>
    <row r="40" spans="1:17" s="31" customFormat="1" ht="15" customHeight="1">
      <c r="A40" s="42"/>
      <c r="B40" s="43"/>
      <c r="C40" s="1048" t="s">
        <v>177</v>
      </c>
      <c r="D40" s="1035"/>
      <c r="E40" s="1035"/>
      <c r="F40" s="1035"/>
      <c r="G40" s="1035"/>
      <c r="H40" s="1035"/>
      <c r="I40" s="1035"/>
      <c r="J40" s="1035"/>
      <c r="K40" s="5"/>
      <c r="L40" s="5"/>
      <c r="M40" s="4"/>
      <c r="N40" s="44"/>
      <c r="P40" s="24"/>
      <c r="Q40" s="17"/>
    </row>
    <row r="41" spans="1:17" s="31" customFormat="1" ht="2.25" customHeight="1">
      <c r="A41" s="42"/>
      <c r="B41" s="43"/>
      <c r="C41" s="46"/>
      <c r="D41" s="9"/>
      <c r="E41" s="9"/>
      <c r="F41" s="9"/>
      <c r="G41" s="172"/>
      <c r="H41" s="9"/>
      <c r="I41" s="193"/>
      <c r="J41" s="4"/>
      <c r="K41" s="5"/>
      <c r="L41" s="5"/>
      <c r="M41" s="4"/>
      <c r="N41" s="44"/>
      <c r="P41" s="24"/>
      <c r="Q41" s="17"/>
    </row>
    <row r="42" spans="1:17" s="31" customFormat="1" ht="15" customHeight="1">
      <c r="A42" s="42"/>
      <c r="B42" s="43"/>
      <c r="C42" s="46" t="s">
        <v>227</v>
      </c>
      <c r="D42" s="9"/>
      <c r="E42" s="191">
        <v>7</v>
      </c>
      <c r="F42" s="9"/>
      <c r="G42" s="107">
        <v>2851</v>
      </c>
      <c r="H42" s="70"/>
      <c r="I42" s="193" t="s">
        <v>172</v>
      </c>
      <c r="J42" s="197"/>
      <c r="K42" s="91"/>
      <c r="L42" s="1033">
        <v>2851</v>
      </c>
      <c r="M42" s="1034"/>
      <c r="N42" s="44"/>
      <c r="P42" s="24">
        <v>2</v>
      </c>
      <c r="Q42" s="17"/>
    </row>
    <row r="43" spans="1:17" s="31" customFormat="1">
      <c r="A43" s="42"/>
      <c r="B43" s="43"/>
      <c r="C43" s="46" t="s">
        <v>5</v>
      </c>
      <c r="D43" s="9"/>
      <c r="E43" s="191">
        <v>5</v>
      </c>
      <c r="F43" s="9"/>
      <c r="G43" s="198">
        <v>0</v>
      </c>
      <c r="H43" s="70"/>
      <c r="I43" s="193" t="s">
        <v>172</v>
      </c>
      <c r="J43" s="4"/>
      <c r="K43" s="5"/>
      <c r="L43" s="5"/>
      <c r="M43" s="4"/>
      <c r="N43" s="44"/>
      <c r="P43" s="24"/>
      <c r="Q43" s="17"/>
    </row>
    <row r="44" spans="1:17" s="31" customFormat="1" ht="2.25" customHeight="1">
      <c r="A44" s="42"/>
      <c r="B44" s="43"/>
      <c r="C44" s="46"/>
      <c r="D44" s="9"/>
      <c r="E44" s="9"/>
      <c r="F44" s="9"/>
      <c r="G44" s="9"/>
      <c r="H44" s="9"/>
      <c r="I44" s="9"/>
      <c r="J44" s="4"/>
      <c r="K44" s="5"/>
      <c r="L44" s="1056" t="s">
        <v>135</v>
      </c>
      <c r="M44" s="1056"/>
      <c r="N44" s="44"/>
      <c r="P44" s="24"/>
      <c r="Q44" s="17"/>
    </row>
    <row r="45" spans="1:17" s="31" customFormat="1">
      <c r="A45" s="42"/>
      <c r="B45" s="43"/>
      <c r="C45" s="1055" t="s">
        <v>136</v>
      </c>
      <c r="D45" s="1055"/>
      <c r="E45" s="1055"/>
      <c r="F45" s="1055"/>
      <c r="G45" s="1055"/>
      <c r="H45" s="1055"/>
      <c r="I45" s="1055"/>
      <c r="J45" s="1055"/>
      <c r="K45" s="5"/>
      <c r="L45" s="1056"/>
      <c r="M45" s="1056"/>
      <c r="N45" s="44"/>
      <c r="P45" s="24"/>
      <c r="Q45" s="17"/>
    </row>
    <row r="46" spans="1:17" s="31" customFormat="1" ht="2.25" customHeight="1">
      <c r="A46" s="42"/>
      <c r="B46" s="43"/>
      <c r="C46" s="46"/>
      <c r="D46" s="9"/>
      <c r="E46" s="9"/>
      <c r="F46" s="9"/>
      <c r="G46" s="9"/>
      <c r="H46" s="9"/>
      <c r="I46" s="9"/>
      <c r="J46" s="4"/>
      <c r="K46" s="5"/>
      <c r="L46" s="1056"/>
      <c r="M46" s="1056"/>
      <c r="N46" s="44"/>
      <c r="P46" s="24"/>
      <c r="Q46" s="17"/>
    </row>
    <row r="47" spans="1:17" s="31" customFormat="1">
      <c r="A47" s="42"/>
      <c r="B47" s="43"/>
      <c r="C47" s="46" t="s">
        <v>116</v>
      </c>
      <c r="D47" s="9"/>
      <c r="E47" s="131"/>
      <c r="F47" s="9"/>
      <c r="G47" s="107">
        <v>3737.8</v>
      </c>
      <c r="H47" s="9"/>
      <c r="I47" s="193" t="s">
        <v>256</v>
      </c>
      <c r="J47" s="4"/>
      <c r="K47" s="63"/>
      <c r="L47" s="1056"/>
      <c r="M47" s="1056"/>
      <c r="N47" s="44"/>
    </row>
    <row r="48" spans="1:17" s="31" customFormat="1" ht="2.25" customHeight="1">
      <c r="A48" s="42"/>
      <c r="B48" s="43"/>
      <c r="C48" s="9"/>
      <c r="D48" s="14"/>
      <c r="E48" s="14"/>
      <c r="F48" s="14"/>
      <c r="G48" s="63"/>
      <c r="H48" s="14"/>
      <c r="I48" s="5"/>
      <c r="J48" s="5"/>
      <c r="K48" s="63"/>
      <c r="L48" s="1056"/>
      <c r="M48" s="1056"/>
      <c r="N48" s="44"/>
    </row>
    <row r="49" spans="1:14" s="31" customFormat="1" ht="15" customHeight="1">
      <c r="A49" s="42"/>
      <c r="B49" s="43"/>
      <c r="C49" s="1051" t="s">
        <v>177</v>
      </c>
      <c r="D49" s="1051"/>
      <c r="E49" s="1051"/>
      <c r="F49" s="1051"/>
      <c r="G49" s="1051"/>
      <c r="H49" s="1051"/>
      <c r="I49" s="1051"/>
      <c r="J49" s="1051"/>
      <c r="K49" s="63"/>
      <c r="L49" s="1056"/>
      <c r="M49" s="1056"/>
      <c r="N49" s="44"/>
    </row>
    <row r="50" spans="1:14" s="31" customFormat="1" ht="2.25" customHeight="1">
      <c r="A50" s="42"/>
      <c r="B50" s="43"/>
      <c r="C50" s="9"/>
      <c r="D50" s="14"/>
      <c r="E50" s="199"/>
      <c r="F50" s="14"/>
      <c r="G50" s="63"/>
      <c r="H50" s="14"/>
      <c r="I50" s="5"/>
      <c r="J50" s="5"/>
      <c r="K50" s="63"/>
      <c r="L50" s="1056"/>
      <c r="M50" s="1056"/>
      <c r="N50" s="44"/>
    </row>
    <row r="51" spans="1:14" s="31" customFormat="1" ht="10.5" customHeight="1">
      <c r="A51" s="42"/>
      <c r="B51" s="43"/>
      <c r="C51" s="69" t="s">
        <v>78</v>
      </c>
      <c r="D51" s="14"/>
      <c r="E51" s="131"/>
      <c r="F51" s="14"/>
      <c r="G51" s="63"/>
      <c r="H51" s="63"/>
      <c r="I51" s="63"/>
      <c r="J51" s="63"/>
      <c r="K51" s="63"/>
      <c r="L51" s="1056"/>
      <c r="M51" s="1056"/>
      <c r="N51" s="44"/>
    </row>
    <row r="52" spans="1:14" s="31" customFormat="1">
      <c r="A52" s="42"/>
      <c r="B52" s="43"/>
      <c r="C52" s="46" t="s">
        <v>146</v>
      </c>
      <c r="D52" s="14"/>
      <c r="E52" s="131"/>
      <c r="F52" s="14"/>
      <c r="G52" s="107">
        <v>17684.3</v>
      </c>
      <c r="H52" s="14"/>
      <c r="I52" s="193" t="s">
        <v>172</v>
      </c>
      <c r="J52" s="63"/>
      <c r="K52" s="63"/>
      <c r="L52" s="5"/>
      <c r="M52" s="4"/>
      <c r="N52" s="44"/>
    </row>
    <row r="53" spans="1:14" s="31" customFormat="1" ht="6.75" customHeight="1">
      <c r="A53" s="42"/>
      <c r="B53" s="43"/>
      <c r="C53" s="9"/>
      <c r="D53" s="14"/>
      <c r="E53" s="131"/>
      <c r="F53" s="14"/>
      <c r="G53" s="200"/>
      <c r="H53" s="14"/>
      <c r="I53" s="13"/>
      <c r="J53" s="63"/>
      <c r="K53" s="63"/>
      <c r="L53" s="5"/>
      <c r="M53" s="4"/>
      <c r="N53" s="44"/>
    </row>
    <row r="54" spans="1:14" s="31" customFormat="1">
      <c r="A54" s="42"/>
      <c r="B54" s="43"/>
      <c r="C54" s="65" t="s">
        <v>290</v>
      </c>
      <c r="D54" s="30"/>
      <c r="E54" s="131"/>
      <c r="F54" s="16"/>
      <c r="G54" s="107">
        <v>21422.1</v>
      </c>
      <c r="H54" s="5"/>
      <c r="I54" s="193" t="s">
        <v>172</v>
      </c>
      <c r="J54" s="4"/>
      <c r="K54" s="63"/>
      <c r="L54" s="13"/>
      <c r="M54" s="71"/>
      <c r="N54" s="44"/>
    </row>
    <row r="55" spans="1:14" s="31" customFormat="1" ht="5.25" customHeight="1">
      <c r="A55" s="42"/>
      <c r="B55" s="43"/>
      <c r="C55" s="72"/>
      <c r="D55" s="15"/>
      <c r="E55" s="132"/>
      <c r="F55" s="15"/>
      <c r="G55" s="11"/>
      <c r="H55" s="11"/>
      <c r="I55" s="11"/>
      <c r="J55" s="8"/>
      <c r="K55" s="8"/>
      <c r="L55" s="8"/>
      <c r="M55" s="7"/>
      <c r="N55" s="44"/>
    </row>
    <row r="56" spans="1:14" s="31" customFormat="1" ht="6" customHeight="1">
      <c r="A56" s="42"/>
      <c r="B56" s="43"/>
      <c r="C56" s="9"/>
      <c r="D56" s="16"/>
      <c r="E56" s="130"/>
      <c r="F56" s="16"/>
      <c r="G56" s="5"/>
      <c r="H56" s="5"/>
      <c r="I56" s="5"/>
      <c r="J56" s="13"/>
      <c r="K56" s="13"/>
      <c r="L56" s="13"/>
      <c r="M56" s="4"/>
      <c r="N56" s="44"/>
    </row>
    <row r="57" spans="1:14" s="31" customFormat="1" ht="13.5" customHeight="1">
      <c r="A57" s="42"/>
      <c r="B57" s="43"/>
      <c r="C57" s="69" t="s">
        <v>22</v>
      </c>
      <c r="D57" s="14"/>
      <c r="E57" s="131"/>
      <c r="F57" s="14"/>
      <c r="G57" s="200"/>
      <c r="H57" s="14"/>
      <c r="I57" s="13"/>
      <c r="J57" s="63"/>
      <c r="K57" s="63"/>
      <c r="L57" s="5"/>
      <c r="M57" s="4"/>
      <c r="N57" s="44"/>
    </row>
    <row r="58" spans="1:14" s="31" customFormat="1" ht="13.5" customHeight="1">
      <c r="A58" s="42"/>
      <c r="B58" s="43"/>
      <c r="C58" s="9" t="s">
        <v>233</v>
      </c>
      <c r="D58" s="14"/>
      <c r="E58" s="131"/>
      <c r="F58" s="14"/>
      <c r="G58" s="107">
        <v>23420.6</v>
      </c>
      <c r="H58" s="14"/>
      <c r="I58" s="193" t="s">
        <v>172</v>
      </c>
      <c r="J58" s="63"/>
      <c r="K58" s="63"/>
      <c r="L58" s="5"/>
      <c r="M58" s="4"/>
      <c r="N58" s="44"/>
    </row>
    <row r="59" spans="1:14" s="31" customFormat="1" ht="13.5" customHeight="1">
      <c r="A59" s="42"/>
      <c r="B59" s="43"/>
      <c r="C59" s="180" t="s">
        <v>317</v>
      </c>
      <c r="D59" s="181"/>
      <c r="E59" s="181"/>
      <c r="F59" s="181"/>
      <c r="G59" s="181"/>
      <c r="H59" s="181"/>
      <c r="I59" s="181"/>
      <c r="J59" s="181"/>
      <c r="K59" s="181"/>
      <c r="L59" s="181"/>
      <c r="M59" s="181"/>
      <c r="N59" s="44"/>
    </row>
    <row r="60" spans="1:14" s="31" customFormat="1" ht="16.5" customHeight="1">
      <c r="A60" s="42"/>
      <c r="B60" s="43"/>
      <c r="C60" s="3" t="s">
        <v>195</v>
      </c>
      <c r="D60" s="3"/>
      <c r="E60" s="130"/>
      <c r="F60" s="3"/>
      <c r="G60" s="4"/>
      <c r="H60" s="4"/>
      <c r="I60" s="4"/>
      <c r="J60" s="4"/>
      <c r="K60" s="4"/>
      <c r="L60" s="4"/>
      <c r="M60" s="4"/>
      <c r="N60" s="44"/>
    </row>
    <row r="61" spans="1:14" s="31" customFormat="1" ht="5.25" customHeight="1">
      <c r="A61" s="42"/>
      <c r="B61" s="43"/>
      <c r="C61" s="3"/>
      <c r="D61" s="3"/>
      <c r="E61" s="130"/>
      <c r="F61" s="3"/>
      <c r="G61" s="4"/>
      <c r="H61" s="4"/>
      <c r="I61" s="4"/>
      <c r="J61" s="4"/>
      <c r="K61" s="4"/>
      <c r="L61" s="4"/>
      <c r="M61" s="4"/>
      <c r="N61" s="44"/>
    </row>
    <row r="62" spans="1:14" s="31" customFormat="1">
      <c r="A62" s="42"/>
      <c r="B62" s="43"/>
      <c r="C62" s="46" t="s">
        <v>228</v>
      </c>
      <c r="D62" s="3"/>
      <c r="E62" s="191">
        <v>8</v>
      </c>
      <c r="F62" s="3"/>
      <c r="G62" s="201">
        <v>4161</v>
      </c>
      <c r="H62" s="73"/>
      <c r="I62" s="179" t="s">
        <v>173</v>
      </c>
      <c r="J62" s="4"/>
      <c r="K62" s="4"/>
      <c r="L62" s="4"/>
      <c r="M62" s="4"/>
      <c r="N62" s="44"/>
    </row>
    <row r="63" spans="1:14" s="31" customFormat="1">
      <c r="A63" s="42"/>
      <c r="B63" s="43"/>
      <c r="C63" s="46" t="s">
        <v>220</v>
      </c>
      <c r="D63" s="3"/>
      <c r="E63" s="191">
        <v>9</v>
      </c>
      <c r="F63" s="3"/>
      <c r="G63" s="202">
        <v>287905</v>
      </c>
      <c r="H63" s="73"/>
      <c r="I63" s="4"/>
      <c r="J63" s="4"/>
      <c r="K63" s="4"/>
      <c r="L63" s="4"/>
      <c r="M63" s="4"/>
      <c r="N63" s="44"/>
    </row>
    <row r="64" spans="1:14" s="31" customFormat="1">
      <c r="A64" s="42"/>
      <c r="B64" s="43"/>
      <c r="C64" s="46" t="s">
        <v>196</v>
      </c>
      <c r="D64" s="3"/>
      <c r="E64" s="178"/>
      <c r="F64" s="3"/>
      <c r="G64" s="36">
        <v>69.191300168228793</v>
      </c>
      <c r="H64" s="4"/>
      <c r="I64" s="179" t="s">
        <v>174</v>
      </c>
      <c r="J64" s="63"/>
      <c r="K64" s="63"/>
      <c r="L64" s="4"/>
      <c r="M64" s="4"/>
      <c r="N64" s="44"/>
    </row>
    <row r="65" spans="1:16" s="31" customFormat="1" ht="13.5" customHeight="1">
      <c r="A65" s="42"/>
      <c r="B65" s="43"/>
      <c r="C65" s="183" t="s">
        <v>147</v>
      </c>
      <c r="D65" s="3"/>
      <c r="E65" s="191">
        <v>5</v>
      </c>
      <c r="F65" s="3"/>
      <c r="G65" s="201">
        <v>16</v>
      </c>
      <c r="H65" s="3"/>
      <c r="I65" s="179" t="s">
        <v>175</v>
      </c>
      <c r="J65" s="1053"/>
      <c r="K65" s="1054"/>
      <c r="L65" s="1054"/>
      <c r="M65" s="1054"/>
      <c r="N65" s="44"/>
    </row>
    <row r="66" spans="1:16" s="31" customFormat="1">
      <c r="A66" s="42"/>
      <c r="B66" s="43"/>
      <c r="C66" s="4"/>
      <c r="D66" s="3"/>
      <c r="E66" s="178"/>
      <c r="F66" s="3"/>
      <c r="G66" s="23"/>
      <c r="H66" s="3"/>
      <c r="I66" s="4"/>
      <c r="J66" s="1054"/>
      <c r="K66" s="1054"/>
      <c r="L66" s="1054"/>
      <c r="M66" s="1054"/>
      <c r="N66" s="44"/>
    </row>
    <row r="67" spans="1:16" s="31" customFormat="1">
      <c r="A67" s="42"/>
      <c r="B67" s="43"/>
      <c r="C67" s="46" t="s">
        <v>229</v>
      </c>
      <c r="D67" s="3"/>
      <c r="E67" s="191">
        <v>6</v>
      </c>
      <c r="F67" s="3"/>
      <c r="G67" s="201">
        <v>58.4</v>
      </c>
      <c r="H67" s="74"/>
      <c r="I67" s="179" t="s">
        <v>65</v>
      </c>
      <c r="J67" s="4"/>
      <c r="K67" s="67"/>
      <c r="L67" s="4"/>
      <c r="M67" s="4"/>
      <c r="N67" s="44"/>
    </row>
    <row r="68" spans="1:16" s="31" customFormat="1" ht="3" customHeight="1">
      <c r="A68" s="42"/>
      <c r="B68" s="43"/>
      <c r="C68" s="46"/>
      <c r="D68" s="3"/>
      <c r="E68" s="3"/>
      <c r="F68" s="3"/>
      <c r="G68" s="3"/>
      <c r="H68" s="3"/>
      <c r="I68" s="179"/>
      <c r="J68" s="4"/>
      <c r="K68" s="67"/>
      <c r="L68" s="4"/>
      <c r="M68" s="4"/>
      <c r="N68" s="44"/>
    </row>
    <row r="69" spans="1:16" s="31" customFormat="1">
      <c r="A69" s="42"/>
      <c r="B69" s="43"/>
      <c r="C69" s="1035" t="s">
        <v>177</v>
      </c>
      <c r="D69" s="1035"/>
      <c r="E69" s="1035"/>
      <c r="F69" s="1035"/>
      <c r="G69" s="1035"/>
      <c r="H69" s="1035"/>
      <c r="I69" s="1035"/>
      <c r="J69" s="1035"/>
      <c r="K69" s="152"/>
      <c r="L69" s="4"/>
      <c r="M69" s="4"/>
      <c r="N69" s="44"/>
      <c r="P69" s="31">
        <v>1</v>
      </c>
    </row>
    <row r="70" spans="1:16" s="31" customFormat="1" ht="2.25" customHeight="1">
      <c r="A70" s="42"/>
      <c r="B70" s="43"/>
      <c r="C70" s="6"/>
      <c r="D70" s="7"/>
      <c r="E70" s="7"/>
      <c r="F70" s="7"/>
      <c r="G70" s="7"/>
      <c r="H70" s="7"/>
      <c r="I70" s="7"/>
      <c r="J70" s="7"/>
      <c r="K70" s="7"/>
      <c r="L70" s="7"/>
      <c r="M70" s="7"/>
      <c r="N70" s="44"/>
    </row>
    <row r="71" spans="1:16" s="31" customFormat="1" ht="6" customHeight="1">
      <c r="A71" s="42"/>
      <c r="B71" s="43"/>
      <c r="C71" s="3"/>
      <c r="D71" s="3"/>
      <c r="E71" s="130"/>
      <c r="F71" s="3"/>
      <c r="G71" s="4"/>
      <c r="H71" s="4"/>
      <c r="I71" s="4"/>
      <c r="J71" s="4"/>
      <c r="K71" s="4"/>
      <c r="L71" s="4"/>
      <c r="M71" s="4"/>
      <c r="N71" s="44"/>
    </row>
    <row r="72" spans="1:16" s="31" customFormat="1" ht="13.5" customHeight="1">
      <c r="A72" s="42"/>
      <c r="B72" s="43"/>
      <c r="C72" s="3" t="s">
        <v>83</v>
      </c>
      <c r="D72" s="3"/>
      <c r="E72" s="130"/>
      <c r="F72" s="3"/>
      <c r="G72" s="37"/>
      <c r="H72" s="4"/>
      <c r="I72" s="4"/>
      <c r="J72" s="4"/>
      <c r="K72" s="4"/>
      <c r="L72" s="4"/>
      <c r="M72" s="4"/>
      <c r="N72" s="44"/>
    </row>
    <row r="73" spans="1:16" s="31" customFormat="1" ht="5.25" customHeight="1">
      <c r="A73" s="42"/>
      <c r="B73" s="43"/>
      <c r="C73" s="3"/>
      <c r="D73" s="3"/>
      <c r="E73" s="130"/>
      <c r="F73" s="3"/>
      <c r="G73" s="4"/>
      <c r="H73" s="4"/>
      <c r="I73" s="4"/>
      <c r="J73" s="4"/>
      <c r="K73" s="4"/>
      <c r="L73" s="4"/>
      <c r="M73" s="4"/>
      <c r="N73" s="44"/>
    </row>
    <row r="74" spans="1:16" s="31" customFormat="1" ht="14.25" customHeight="1">
      <c r="A74" s="42"/>
      <c r="B74" s="43"/>
      <c r="C74" s="46" t="s">
        <v>230</v>
      </c>
      <c r="D74" s="9"/>
      <c r="E74" s="191">
        <v>3</v>
      </c>
      <c r="F74" s="4"/>
      <c r="G74" s="203">
        <v>100000000</v>
      </c>
      <c r="H74" s="4"/>
      <c r="I74" s="179" t="s">
        <v>90</v>
      </c>
      <c r="J74" s="4"/>
      <c r="K74" s="4"/>
      <c r="L74" s="4"/>
      <c r="M74" s="4"/>
      <c r="N74" s="44"/>
    </row>
    <row r="75" spans="1:16" s="31" customFormat="1" ht="14.25" customHeight="1">
      <c r="A75" s="42"/>
      <c r="B75" s="43"/>
      <c r="C75" s="75" t="s">
        <v>316</v>
      </c>
      <c r="D75" s="9"/>
      <c r="E75" s="191">
        <v>10</v>
      </c>
      <c r="F75" s="4"/>
      <c r="G75" s="204">
        <v>0.64200000000000002</v>
      </c>
      <c r="H75" s="4"/>
      <c r="I75" s="1059" t="s">
        <v>302</v>
      </c>
      <c r="J75" s="1060"/>
      <c r="K75" s="1061"/>
      <c r="L75" s="1057" t="s">
        <v>177</v>
      </c>
      <c r="M75" s="1058"/>
      <c r="N75" s="44"/>
    </row>
    <row r="76" spans="1:16" s="31" customFormat="1" ht="13.5" customHeight="1">
      <c r="A76" s="42"/>
      <c r="B76" s="43"/>
      <c r="C76" s="75" t="s">
        <v>198</v>
      </c>
      <c r="D76" s="9"/>
      <c r="E76" s="191">
        <v>10</v>
      </c>
      <c r="F76" s="4"/>
      <c r="G76" s="204">
        <v>642</v>
      </c>
      <c r="H76" s="4"/>
      <c r="I76" s="193" t="s">
        <v>66</v>
      </c>
      <c r="J76" s="4"/>
      <c r="K76" s="4"/>
      <c r="L76" s="37"/>
      <c r="M76" s="4"/>
      <c r="N76" s="44"/>
    </row>
    <row r="77" spans="1:16" s="31" customFormat="1" ht="2.25" customHeight="1">
      <c r="A77" s="42"/>
      <c r="B77" s="43"/>
      <c r="C77" s="3"/>
      <c r="D77" s="3"/>
      <c r="E77" s="127"/>
      <c r="F77" s="3"/>
      <c r="G77" s="4"/>
      <c r="H77" s="4"/>
      <c r="I77" s="4"/>
      <c r="J77" s="4"/>
      <c r="K77" s="4"/>
      <c r="L77" s="4"/>
      <c r="M77" s="4"/>
      <c r="N77" s="44"/>
    </row>
    <row r="78" spans="1:16" s="31" customFormat="1" ht="13.5" customHeight="1">
      <c r="A78" s="42"/>
      <c r="B78" s="43"/>
      <c r="C78" s="1052" t="s">
        <v>67</v>
      </c>
      <c r="D78" s="1052"/>
      <c r="E78" s="1052"/>
      <c r="F78" s="1052"/>
      <c r="G78" s="1052"/>
      <c r="H78" s="1052"/>
      <c r="I78" s="1052"/>
      <c r="J78" s="1052"/>
      <c r="K78" s="1052"/>
      <c r="L78" s="1052"/>
      <c r="M78" s="4"/>
      <c r="N78" s="44"/>
      <c r="P78" s="31">
        <v>1</v>
      </c>
    </row>
    <row r="79" spans="1:16" s="31" customFormat="1" ht="2.25" customHeight="1">
      <c r="A79" s="42"/>
      <c r="B79" s="43"/>
      <c r="C79" s="6"/>
      <c r="D79" s="6"/>
      <c r="E79" s="126"/>
      <c r="F79" s="6"/>
      <c r="G79" s="7"/>
      <c r="H79" s="7"/>
      <c r="I79" s="7"/>
      <c r="J79" s="7"/>
      <c r="K79" s="7"/>
      <c r="L79" s="7"/>
      <c r="M79" s="7"/>
      <c r="N79" s="44"/>
    </row>
    <row r="80" spans="1:16" s="31" customFormat="1" ht="6" customHeight="1">
      <c r="A80" s="42"/>
      <c r="B80" s="43"/>
      <c r="C80" s="77"/>
      <c r="D80" s="3"/>
      <c r="E80" s="123"/>
      <c r="F80" s="3"/>
      <c r="G80" s="4"/>
      <c r="H80" s="4"/>
      <c r="I80" s="4"/>
      <c r="J80" s="4"/>
      <c r="K80" s="4"/>
      <c r="L80" s="4"/>
      <c r="M80" s="4"/>
      <c r="N80" s="44"/>
    </row>
    <row r="81" spans="1:14" s="31" customFormat="1" ht="13.5" customHeight="1">
      <c r="A81" s="42"/>
      <c r="B81" s="43"/>
      <c r="C81" s="3" t="s">
        <v>86</v>
      </c>
      <c r="D81" s="3"/>
      <c r="E81" s="123"/>
      <c r="F81" s="3"/>
      <c r="G81" s="4"/>
      <c r="H81" s="4"/>
      <c r="I81" s="39"/>
      <c r="J81" s="4"/>
      <c r="K81" s="4"/>
      <c r="L81" s="4"/>
      <c r="M81" s="4"/>
      <c r="N81" s="44"/>
    </row>
    <row r="82" spans="1:14" s="31" customFormat="1" ht="5.25" customHeight="1">
      <c r="A82" s="42"/>
      <c r="B82" s="43"/>
      <c r="C82" s="3"/>
      <c r="D82" s="3"/>
      <c r="E82" s="123"/>
      <c r="F82" s="3"/>
      <c r="G82" s="4"/>
      <c r="H82" s="4"/>
      <c r="I82" s="4"/>
      <c r="J82" s="4"/>
      <c r="K82" s="4"/>
      <c r="L82" s="4"/>
      <c r="M82" s="4"/>
      <c r="N82" s="44"/>
    </row>
    <row r="83" spans="1:14" s="31" customFormat="1" ht="13.5" customHeight="1">
      <c r="A83" s="42"/>
      <c r="B83" s="43"/>
      <c r="C83" s="78" t="s">
        <v>87</v>
      </c>
      <c r="D83" s="3"/>
      <c r="E83" s="123"/>
      <c r="F83" s="3"/>
      <c r="G83" s="4"/>
      <c r="H83" s="4"/>
      <c r="I83" s="4"/>
      <c r="J83" s="4"/>
      <c r="K83" s="4"/>
      <c r="L83" s="4"/>
      <c r="M83" s="4"/>
      <c r="N83" s="44"/>
    </row>
    <row r="84" spans="1:14" s="31" customFormat="1" ht="13.5" customHeight="1">
      <c r="A84" s="42"/>
      <c r="B84" s="43"/>
      <c r="C84" s="63"/>
      <c r="D84" s="3"/>
      <c r="E84" s="123"/>
      <c r="F84" s="3"/>
      <c r="G84" s="46" t="s">
        <v>74</v>
      </c>
      <c r="H84" s="4"/>
      <c r="I84" s="27">
        <v>0.12489687739141805</v>
      </c>
      <c r="J84" s="4"/>
      <c r="K84" s="4"/>
      <c r="L84" s="4"/>
      <c r="M84" s="4"/>
      <c r="N84" s="44"/>
    </row>
    <row r="85" spans="1:14" s="31" customFormat="1" ht="13.5" customHeight="1">
      <c r="A85" s="42"/>
      <c r="B85" s="43"/>
      <c r="C85" s="63"/>
      <c r="D85" s="3"/>
      <c r="E85" s="123"/>
      <c r="F85" s="3"/>
      <c r="G85" s="46" t="s">
        <v>73</v>
      </c>
      <c r="H85" s="4"/>
      <c r="I85" s="27">
        <v>0.15036025200000011</v>
      </c>
      <c r="J85" s="4"/>
      <c r="K85" s="4"/>
      <c r="L85" s="4"/>
      <c r="M85" s="4"/>
      <c r="N85" s="44"/>
    </row>
    <row r="86" spans="1:14" s="31" customFormat="1" ht="13.5" customHeight="1">
      <c r="A86" s="42"/>
      <c r="B86" s="43"/>
      <c r="C86" s="63"/>
      <c r="D86" s="3"/>
      <c r="E86" s="123"/>
      <c r="F86" s="3"/>
      <c r="G86" s="46" t="s">
        <v>199</v>
      </c>
      <c r="H86" s="4"/>
      <c r="I86" s="38">
        <v>2399667.6</v>
      </c>
      <c r="J86" s="4"/>
      <c r="K86" s="4"/>
      <c r="L86" s="4"/>
      <c r="M86" s="4"/>
      <c r="N86" s="44"/>
    </row>
    <row r="87" spans="1:14" s="31" customFormat="1" ht="13.5" customHeight="1">
      <c r="A87" s="42"/>
      <c r="B87" s="43"/>
      <c r="C87" s="63"/>
      <c r="D87" s="3"/>
      <c r="E87" s="123"/>
      <c r="F87" s="3"/>
      <c r="G87" s="46" t="s">
        <v>298</v>
      </c>
      <c r="H87" s="4"/>
      <c r="I87" s="38">
        <v>11353320.600000011</v>
      </c>
      <c r="J87" s="4"/>
      <c r="K87" s="4"/>
      <c r="L87" s="4"/>
      <c r="M87" s="4"/>
      <c r="N87" s="44"/>
    </row>
    <row r="88" spans="1:14" s="31" customFormat="1" ht="5.25" customHeight="1">
      <c r="A88" s="42"/>
      <c r="B88" s="43"/>
      <c r="C88" s="3"/>
      <c r="D88" s="3"/>
      <c r="E88" s="123"/>
      <c r="F88" s="3"/>
      <c r="G88" s="4"/>
      <c r="H88" s="4"/>
      <c r="I88" s="4"/>
      <c r="J88" s="4"/>
      <c r="K88" s="4"/>
      <c r="L88" s="4"/>
      <c r="M88" s="4"/>
      <c r="N88" s="44"/>
    </row>
    <row r="89" spans="1:14" s="31" customFormat="1" ht="13.5" customHeight="1">
      <c r="A89" s="42"/>
      <c r="B89" s="43"/>
      <c r="C89" s="78" t="s">
        <v>88</v>
      </c>
      <c r="D89" s="3"/>
      <c r="E89" s="123"/>
      <c r="F89" s="3"/>
      <c r="G89" s="3"/>
      <c r="H89" s="4"/>
      <c r="I89" s="4"/>
      <c r="J89" s="4"/>
      <c r="K89" s="4"/>
      <c r="L89" s="4"/>
      <c r="M89" s="4"/>
      <c r="N89" s="44"/>
    </row>
    <row r="90" spans="1:14" s="31" customFormat="1" ht="5.25" customHeight="1">
      <c r="A90" s="42"/>
      <c r="B90" s="43"/>
      <c r="C90" s="78"/>
      <c r="D90" s="3"/>
      <c r="E90" s="123"/>
      <c r="F90" s="3"/>
      <c r="G90" s="4"/>
      <c r="H90" s="4"/>
      <c r="I90" s="4"/>
      <c r="J90" s="4"/>
      <c r="K90" s="4"/>
      <c r="L90" s="4"/>
      <c r="M90" s="4"/>
      <c r="N90" s="44"/>
    </row>
    <row r="91" spans="1:14" s="31" customFormat="1" ht="13.5" customHeight="1">
      <c r="A91" s="42"/>
      <c r="B91" s="43"/>
      <c r="C91" s="12"/>
      <c r="D91" s="12"/>
      <c r="E91" s="133"/>
      <c r="F91" s="12"/>
      <c r="G91" s="46" t="s">
        <v>113</v>
      </c>
      <c r="H91" s="4"/>
      <c r="I91" s="22">
        <v>35.569191035951022</v>
      </c>
      <c r="J91" s="179" t="s">
        <v>68</v>
      </c>
      <c r="K91" s="4"/>
      <c r="L91" s="4"/>
      <c r="M91" s="4"/>
      <c r="N91" s="44"/>
    </row>
    <row r="92" spans="1:14" s="31" customFormat="1" ht="8.25" customHeight="1">
      <c r="A92" s="42"/>
      <c r="B92" s="43"/>
      <c r="C92" s="78"/>
      <c r="D92" s="3"/>
      <c r="E92" s="123"/>
      <c r="F92" s="3"/>
      <c r="G92" s="4"/>
      <c r="H92" s="4"/>
      <c r="I92" s="4"/>
      <c r="J92" s="4"/>
      <c r="K92" s="4"/>
      <c r="L92" s="4"/>
      <c r="M92" s="4"/>
      <c r="N92" s="44"/>
    </row>
    <row r="93" spans="1:14" s="31" customFormat="1">
      <c r="A93" s="42"/>
      <c r="B93" s="43"/>
      <c r="C93" s="3"/>
      <c r="D93" s="3"/>
      <c r="E93" s="123"/>
      <c r="F93" s="3"/>
      <c r="G93" s="46" t="s">
        <v>114</v>
      </c>
      <c r="H93" s="4"/>
      <c r="I93" s="182">
        <v>168.28515304111224</v>
      </c>
      <c r="J93" s="179" t="s">
        <v>68</v>
      </c>
      <c r="K93" s="4"/>
      <c r="L93" s="4"/>
      <c r="M93" s="4"/>
      <c r="N93" s="44"/>
    </row>
    <row r="94" spans="1:14" s="31" customFormat="1" ht="8.25" customHeight="1">
      <c r="A94" s="42"/>
      <c r="B94" s="43"/>
      <c r="C94" s="3"/>
      <c r="D94" s="3"/>
      <c r="E94" s="123"/>
      <c r="F94" s="3"/>
      <c r="G94" s="4"/>
      <c r="H94" s="4"/>
      <c r="I94" s="20"/>
      <c r="J94" s="4"/>
      <c r="K94" s="4"/>
      <c r="L94" s="4"/>
      <c r="M94" s="4"/>
      <c r="N94" s="44"/>
    </row>
    <row r="95" spans="1:14" s="31" customFormat="1">
      <c r="A95" s="42"/>
      <c r="B95" s="43"/>
      <c r="C95" s="3"/>
      <c r="D95" s="3"/>
      <c r="E95" s="123"/>
      <c r="F95" s="3"/>
      <c r="G95" s="46" t="s">
        <v>115</v>
      </c>
      <c r="H95" s="4"/>
      <c r="I95" s="182" t="s">
        <v>69</v>
      </c>
      <c r="J95" s="179" t="s">
        <v>177</v>
      </c>
      <c r="K95" s="4"/>
      <c r="L95" s="4"/>
      <c r="M95" s="4"/>
      <c r="N95" s="44"/>
    </row>
    <row r="96" spans="1:14" s="31" customFormat="1" ht="8.25" customHeight="1">
      <c r="A96" s="42"/>
      <c r="B96" s="43"/>
      <c r="C96" s="3"/>
      <c r="D96" s="3"/>
      <c r="E96" s="123"/>
      <c r="F96" s="3"/>
      <c r="G96" s="4"/>
      <c r="H96" s="4"/>
      <c r="I96" s="20"/>
      <c r="J96" s="4"/>
      <c r="K96" s="4"/>
      <c r="L96" s="4"/>
      <c r="M96" s="4"/>
      <c r="N96" s="44"/>
    </row>
    <row r="97" spans="1:16" s="31" customFormat="1">
      <c r="A97" s="42"/>
      <c r="B97" s="43"/>
      <c r="C97" s="3"/>
      <c r="D97" s="3"/>
      <c r="E97" s="123"/>
      <c r="F97" s="3"/>
      <c r="G97" s="46" t="s">
        <v>70</v>
      </c>
      <c r="H97" s="4"/>
      <c r="I97" s="35">
        <v>2.8815950863204152</v>
      </c>
      <c r="J97" s="179" t="s">
        <v>71</v>
      </c>
      <c r="K97" s="4"/>
      <c r="L97" s="4"/>
      <c r="M97" s="4"/>
      <c r="N97" s="44"/>
    </row>
    <row r="98" spans="1:16" s="31" customFormat="1" ht="8.25" customHeight="1">
      <c r="A98" s="42"/>
      <c r="B98" s="43"/>
      <c r="C98" s="3"/>
      <c r="D98" s="3"/>
      <c r="E98" s="123"/>
      <c r="F98" s="3"/>
      <c r="G98" s="41"/>
      <c r="H98" s="4"/>
      <c r="I98" s="21"/>
      <c r="J98" s="4"/>
      <c r="K98" s="4"/>
      <c r="L98" s="4"/>
      <c r="M98" s="4"/>
      <c r="N98" s="44"/>
    </row>
    <row r="99" spans="1:16" s="31" customFormat="1">
      <c r="A99" s="42"/>
      <c r="B99" s="43"/>
      <c r="C99" s="3"/>
      <c r="D99" s="3"/>
      <c r="E99" s="123"/>
      <c r="F99" s="3"/>
      <c r="G99" s="46" t="s">
        <v>89</v>
      </c>
      <c r="H99" s="4"/>
      <c r="I99" s="35">
        <v>8960.9053439999989</v>
      </c>
      <c r="J99" s="179" t="s">
        <v>287</v>
      </c>
      <c r="K99" s="4"/>
      <c r="L99" s="4"/>
      <c r="M99" s="98"/>
      <c r="N99" s="44"/>
    </row>
    <row r="100" spans="1:16" s="31" customFormat="1" ht="2.25" customHeight="1">
      <c r="A100" s="42"/>
      <c r="B100" s="43"/>
      <c r="C100" s="3"/>
      <c r="D100" s="3"/>
      <c r="E100" s="3"/>
      <c r="F100" s="3"/>
      <c r="G100" s="3"/>
      <c r="H100" s="3"/>
      <c r="I100" s="3"/>
      <c r="J100" s="3"/>
      <c r="K100" s="3"/>
      <c r="L100" s="3"/>
      <c r="M100" s="3"/>
      <c r="N100" s="44"/>
    </row>
    <row r="101" spans="1:16" s="31" customFormat="1" ht="13.5" customHeight="1">
      <c r="A101" s="42"/>
      <c r="B101" s="43"/>
      <c r="C101" s="1062" t="s">
        <v>177</v>
      </c>
      <c r="D101" s="1063"/>
      <c r="E101" s="1063"/>
      <c r="F101" s="1063"/>
      <c r="G101" s="1063"/>
      <c r="H101" s="1063"/>
      <c r="I101" s="1063"/>
      <c r="J101" s="1063"/>
      <c r="K101" s="1063"/>
      <c r="L101" s="1063"/>
      <c r="M101" s="1063"/>
      <c r="N101" s="44"/>
    </row>
    <row r="102" spans="1:16" s="31" customFormat="1" ht="2.25" customHeight="1">
      <c r="A102" s="42"/>
      <c r="B102" s="43"/>
      <c r="C102" s="205"/>
      <c r="D102" s="205"/>
      <c r="E102" s="205"/>
      <c r="F102" s="205"/>
      <c r="G102" s="205"/>
      <c r="H102" s="205"/>
      <c r="I102" s="205"/>
      <c r="J102" s="205"/>
      <c r="K102" s="205"/>
      <c r="L102" s="205"/>
      <c r="M102" s="205"/>
      <c r="N102" s="44"/>
    </row>
    <row r="103" spans="1:16" s="31" customFormat="1" ht="13.5" customHeight="1">
      <c r="A103" s="42"/>
      <c r="B103" s="43"/>
      <c r="C103" s="206"/>
      <c r="D103" s="206"/>
      <c r="E103" s="206"/>
      <c r="F103" s="206"/>
      <c r="G103" s="207" t="s">
        <v>80</v>
      </c>
      <c r="H103" s="208"/>
      <c r="I103" s="35">
        <v>17684.3</v>
      </c>
      <c r="J103" s="206" t="s">
        <v>287</v>
      </c>
      <c r="K103" s="208"/>
      <c r="L103" s="208"/>
      <c r="M103" s="208"/>
      <c r="N103" s="44"/>
    </row>
    <row r="104" spans="1:16" s="31" customFormat="1" ht="8.25" customHeight="1">
      <c r="A104" s="42"/>
      <c r="B104" s="43"/>
      <c r="C104" s="205"/>
      <c r="D104" s="205"/>
      <c r="E104" s="205"/>
      <c r="F104" s="205"/>
      <c r="G104" s="205"/>
      <c r="H104" s="205"/>
      <c r="I104" s="205"/>
      <c r="J104" s="205"/>
      <c r="K104" s="205"/>
      <c r="L104" s="205"/>
      <c r="M104" s="205"/>
      <c r="N104" s="44"/>
    </row>
    <row r="105" spans="1:16" s="31" customFormat="1" ht="13.5" customHeight="1">
      <c r="A105" s="42"/>
      <c r="B105" s="43"/>
      <c r="C105" s="1071" t="s">
        <v>79</v>
      </c>
      <c r="D105" s="1071"/>
      <c r="E105" s="1071"/>
      <c r="F105" s="1071"/>
      <c r="G105" s="1071"/>
      <c r="H105" s="28"/>
      <c r="I105" s="106">
        <v>1.9734947888765491</v>
      </c>
      <c r="J105" s="4"/>
      <c r="K105" s="79"/>
      <c r="L105" s="4"/>
      <c r="M105" s="4"/>
      <c r="N105" s="44"/>
    </row>
    <row r="106" spans="1:16" s="31" customFormat="1" ht="8.25" customHeight="1">
      <c r="A106" s="42"/>
      <c r="B106" s="43"/>
      <c r="C106" s="89"/>
      <c r="D106" s="89"/>
      <c r="E106" s="134"/>
      <c r="F106" s="89"/>
      <c r="G106" s="89"/>
      <c r="H106" s="4"/>
      <c r="I106" s="4"/>
      <c r="J106" s="4"/>
      <c r="K106" s="79"/>
      <c r="L106" s="4"/>
      <c r="M106" s="4"/>
      <c r="N106" s="44"/>
    </row>
    <row r="107" spans="1:16" s="31" customFormat="1" ht="19.5" customHeight="1">
      <c r="A107" s="42"/>
      <c r="B107" s="43"/>
      <c r="C107" s="148" t="s">
        <v>219</v>
      </c>
      <c r="D107" s="89"/>
      <c r="E107" s="134"/>
      <c r="F107" s="89"/>
      <c r="G107" s="89"/>
      <c r="H107" s="4"/>
      <c r="I107" s="4"/>
      <c r="J107" s="4"/>
      <c r="K107" s="79"/>
      <c r="L107" s="4"/>
      <c r="M107" s="4"/>
      <c r="N107" s="44"/>
    </row>
    <row r="108" spans="1:16" s="162" customFormat="1" ht="21" customHeight="1">
      <c r="A108" s="158"/>
      <c r="B108" s="43"/>
      <c r="C108" s="159" t="s">
        <v>284</v>
      </c>
      <c r="D108" s="89"/>
      <c r="E108" s="134"/>
      <c r="F108" s="89"/>
      <c r="G108" s="89"/>
      <c r="H108" s="104"/>
      <c r="I108" s="104"/>
      <c r="J108" s="104"/>
      <c r="K108" s="160"/>
      <c r="L108" s="104"/>
      <c r="M108" s="104"/>
      <c r="N108" s="161"/>
    </row>
    <row r="109" spans="1:16" s="162" customFormat="1" ht="2.25" customHeight="1">
      <c r="A109" s="158"/>
      <c r="B109" s="43"/>
      <c r="C109" s="159"/>
      <c r="D109" s="89"/>
      <c r="E109" s="134"/>
      <c r="F109" s="89"/>
      <c r="G109" s="89"/>
      <c r="H109" s="104"/>
      <c r="I109" s="104"/>
      <c r="J109" s="104"/>
      <c r="K109" s="160"/>
      <c r="L109" s="104"/>
      <c r="M109" s="104"/>
      <c r="N109" s="161"/>
    </row>
    <row r="110" spans="1:16" s="154" customFormat="1" ht="22.5" customHeight="1">
      <c r="A110" s="149"/>
      <c r="B110" s="43"/>
      <c r="C110" s="1068" t="s">
        <v>110</v>
      </c>
      <c r="D110" s="1069"/>
      <c r="E110" s="1069"/>
      <c r="F110" s="1069"/>
      <c r="G110" s="1069"/>
      <c r="H110" s="1069"/>
      <c r="I110" s="1069"/>
      <c r="J110" s="1069"/>
      <c r="K110" s="1069"/>
      <c r="L110" s="1069"/>
      <c r="M110" s="1070"/>
      <c r="N110" s="153"/>
      <c r="P110" s="175">
        <v>0</v>
      </c>
    </row>
    <row r="111" spans="1:16" s="154" customFormat="1" ht="2.25" customHeight="1">
      <c r="A111" s="149"/>
      <c r="B111" s="43"/>
      <c r="C111" s="150"/>
      <c r="D111" s="151"/>
      <c r="E111" s="134"/>
      <c r="F111" s="174"/>
      <c r="G111" s="151"/>
      <c r="H111" s="67"/>
      <c r="I111" s="67"/>
      <c r="J111" s="67"/>
      <c r="K111" s="152"/>
      <c r="L111" s="67"/>
      <c r="M111" s="67"/>
      <c r="N111" s="153"/>
      <c r="P111" s="175"/>
    </row>
    <row r="112" spans="1:16" s="154" customFormat="1" ht="19.5" customHeight="1">
      <c r="A112" s="149"/>
      <c r="B112" s="43"/>
      <c r="C112" s="1066" t="s">
        <v>201</v>
      </c>
      <c r="D112" s="1066"/>
      <c r="E112" s="1066"/>
      <c r="F112" s="1066"/>
      <c r="G112" s="1066"/>
      <c r="H112" s="1066"/>
      <c r="I112" s="1066"/>
      <c r="J112" s="1066"/>
      <c r="K112" s="1066"/>
      <c r="L112" s="1066"/>
      <c r="M112" s="1066"/>
      <c r="N112" s="153"/>
      <c r="P112" s="175"/>
    </row>
    <row r="113" spans="1:14" s="31" customFormat="1" ht="21.75" customHeight="1">
      <c r="A113" s="42"/>
      <c r="B113" s="43"/>
      <c r="C113" s="209" t="s">
        <v>236</v>
      </c>
      <c r="D113" s="1064"/>
      <c r="E113" s="1065"/>
      <c r="F113" s="1065"/>
      <c r="G113" s="1065"/>
      <c r="H113" s="1065"/>
      <c r="I113" s="1065"/>
      <c r="J113" s="1065"/>
      <c r="K113" s="1065"/>
      <c r="L113" s="1065"/>
      <c r="M113" s="1065"/>
      <c r="N113" s="44"/>
    </row>
    <row r="114" spans="1:14" s="31" customFormat="1" ht="19.5" customHeight="1">
      <c r="A114" s="42"/>
      <c r="B114" s="43"/>
      <c r="C114" s="1067" t="s">
        <v>283</v>
      </c>
      <c r="D114" s="1054"/>
      <c r="E114" s="1054"/>
      <c r="F114" s="1054"/>
      <c r="G114" s="1054"/>
      <c r="H114" s="1054"/>
      <c r="I114" s="1054"/>
      <c r="J114" s="1054"/>
      <c r="K114" s="1054"/>
      <c r="L114" s="1054"/>
      <c r="M114" s="1054"/>
      <c r="N114" s="44"/>
    </row>
    <row r="115" spans="1:14" s="31" customFormat="1" ht="15" customHeight="1">
      <c r="A115" s="42"/>
      <c r="B115" s="43"/>
      <c r="C115" s="210" t="s">
        <v>72</v>
      </c>
      <c r="D115" s="3"/>
      <c r="E115" s="123"/>
      <c r="F115" s="3"/>
      <c r="G115" s="4"/>
      <c r="H115" s="4"/>
      <c r="I115" s="4"/>
      <c r="J115" s="4"/>
      <c r="K115" s="4"/>
      <c r="L115" s="4"/>
      <c r="M115" s="4"/>
      <c r="N115" s="44"/>
    </row>
    <row r="116" spans="1:14" s="31" customFormat="1" ht="5.25" customHeight="1">
      <c r="A116" s="42"/>
      <c r="B116" s="43"/>
      <c r="C116" s="76"/>
      <c r="D116" s="3"/>
      <c r="E116" s="123"/>
      <c r="F116" s="3"/>
      <c r="G116" s="4"/>
      <c r="H116" s="4"/>
      <c r="I116" s="4"/>
      <c r="J116" s="4"/>
      <c r="K116" s="4"/>
      <c r="L116" s="4"/>
      <c r="M116" s="4"/>
      <c r="N116" s="44"/>
    </row>
    <row r="117" spans="1:14" s="31" customFormat="1" ht="15" customHeight="1">
      <c r="A117" s="42"/>
      <c r="B117" s="43"/>
      <c r="C117" s="210" t="s">
        <v>111</v>
      </c>
      <c r="D117" s="3"/>
      <c r="E117" s="123"/>
      <c r="F117" s="3"/>
      <c r="G117" s="4"/>
      <c r="H117" s="4"/>
      <c r="I117" s="4"/>
      <c r="J117" s="4"/>
      <c r="K117" s="4"/>
      <c r="L117" s="4"/>
      <c r="M117" s="4"/>
      <c r="N117" s="44"/>
    </row>
    <row r="118" spans="1:14" s="31" customFormat="1" ht="5.25" customHeight="1">
      <c r="A118" s="42"/>
      <c r="B118" s="43"/>
      <c r="C118" s="76"/>
      <c r="D118" s="3"/>
      <c r="E118" s="123"/>
      <c r="F118" s="3"/>
      <c r="G118" s="4"/>
      <c r="H118" s="4"/>
      <c r="I118" s="4"/>
      <c r="J118" s="4"/>
      <c r="K118" s="4"/>
      <c r="L118" s="4"/>
      <c r="M118" s="4"/>
      <c r="N118" s="44"/>
    </row>
    <row r="119" spans="1:14" s="31" customFormat="1" ht="15" customHeight="1">
      <c r="A119" s="42"/>
      <c r="B119" s="43"/>
      <c r="C119" s="210" t="s">
        <v>112</v>
      </c>
      <c r="D119" s="3"/>
      <c r="E119" s="123"/>
      <c r="F119" s="3"/>
      <c r="G119" s="4"/>
      <c r="H119" s="4"/>
      <c r="I119" s="4"/>
      <c r="J119" s="4"/>
      <c r="K119" s="4"/>
      <c r="L119" s="4"/>
      <c r="M119" s="4"/>
      <c r="N119" s="44"/>
    </row>
    <row r="120" spans="1:14" s="31" customFormat="1" ht="14.25" customHeight="1" thickBot="1">
      <c r="A120" s="42"/>
      <c r="B120" s="47"/>
      <c r="C120" s="155"/>
      <c r="D120" s="156"/>
      <c r="E120" s="157"/>
      <c r="F120" s="156"/>
      <c r="G120" s="48"/>
      <c r="H120" s="48"/>
      <c r="I120" s="48"/>
      <c r="J120" s="48"/>
      <c r="K120" s="48"/>
      <c r="L120" s="48"/>
      <c r="M120" s="48"/>
      <c r="N120" s="49"/>
    </row>
    <row r="121" spans="1:14" hidden="1"/>
    <row r="122" spans="1:14" hidden="1"/>
    <row r="123" spans="1:14" hidden="1">
      <c r="G123" s="80"/>
      <c r="H123" s="80"/>
      <c r="I123" s="80"/>
    </row>
    <row r="124" spans="1:14" hidden="1"/>
    <row r="125" spans="1:14" hidden="1"/>
    <row r="126" spans="1:14" hidden="1"/>
    <row r="127" spans="1:14" hidden="1"/>
    <row r="128" spans="1:14"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t="7.5" customHeight="1" thickTop="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sheetData>
  <sheetProtection password="8B16" sheet="1" objects="1" scenarios="1" selectLockedCells="1" selectUnlockedCells="1"/>
  <mergeCells count="27">
    <mergeCell ref="C101:M101"/>
    <mergeCell ref="D113:M113"/>
    <mergeCell ref="C112:M112"/>
    <mergeCell ref="C114:M114"/>
    <mergeCell ref="C110:M110"/>
    <mergeCell ref="C105:G105"/>
    <mergeCell ref="C40:J40"/>
    <mergeCell ref="C49:J49"/>
    <mergeCell ref="C69:J69"/>
    <mergeCell ref="C78:L78"/>
    <mergeCell ref="J65:M66"/>
    <mergeCell ref="C45:J45"/>
    <mergeCell ref="L42:M42"/>
    <mergeCell ref="L44:M51"/>
    <mergeCell ref="L75:M75"/>
    <mergeCell ref="I75:K75"/>
    <mergeCell ref="L38:M38"/>
    <mergeCell ref="C28:J28"/>
    <mergeCell ref="K35:K36"/>
    <mergeCell ref="L26:M26"/>
    <mergeCell ref="B2:J2"/>
    <mergeCell ref="C7:M8"/>
    <mergeCell ref="D5:E5"/>
    <mergeCell ref="I15:J15"/>
    <mergeCell ref="G5:H5"/>
    <mergeCell ref="D12:I12"/>
    <mergeCell ref="K15:M15"/>
  </mergeCells>
  <phoneticPr fontId="0" type="noConversion"/>
  <conditionalFormatting sqref="C9:M9">
    <cfRule type="expression" dxfId="33" priority="1" stopIfTrue="1">
      <formula>E14=""=TRUE</formula>
    </cfRule>
  </conditionalFormatting>
  <conditionalFormatting sqref="J32">
    <cfRule type="expression" dxfId="32" priority="7" stopIfTrue="1">
      <formula>AND(G30&gt;=G19,(G30&lt;&gt;0))</formula>
    </cfRule>
  </conditionalFormatting>
  <conditionalFormatting sqref="I32">
    <cfRule type="expression" dxfId="31" priority="8" stopIfTrue="1">
      <formula>AND(G30&gt;=G19,(G30&lt;&gt;0))</formula>
    </cfRule>
  </conditionalFormatting>
  <conditionalFormatting sqref="E32">
    <cfRule type="expression" dxfId="30" priority="9" stopIfTrue="1">
      <formula>AND(G30&gt;=G19,(G30&lt;&gt;0))</formula>
    </cfRule>
  </conditionalFormatting>
  <conditionalFormatting sqref="F111">
    <cfRule type="expression" dxfId="29" priority="10" stopIfTrue="1">
      <formula>"B106=0"</formula>
    </cfRule>
  </conditionalFormatting>
  <conditionalFormatting sqref="A110:A112 N110:IV112 D111 G111:M111">
    <cfRule type="expression" dxfId="28" priority="11" stopIfTrue="1">
      <formula>"M22=0"</formula>
    </cfRule>
  </conditionalFormatting>
  <conditionalFormatting sqref="L38">
    <cfRule type="expression" dxfId="27" priority="14" stopIfTrue="1">
      <formula>$P$38=1</formula>
    </cfRule>
  </conditionalFormatting>
  <conditionalFormatting sqref="L42:M42">
    <cfRule type="expression" dxfId="26" priority="15" stopIfTrue="1">
      <formula>$P$42=1</formula>
    </cfRule>
  </conditionalFormatting>
  <conditionalFormatting sqref="J38">
    <cfRule type="expression" dxfId="25" priority="16" stopIfTrue="1">
      <formula>$P$38=2</formula>
    </cfRule>
  </conditionalFormatting>
  <conditionalFormatting sqref="G41">
    <cfRule type="expression" dxfId="24" priority="17" stopIfTrue="1">
      <formula>$P$38=2</formula>
    </cfRule>
  </conditionalFormatting>
  <conditionalFormatting sqref="F29">
    <cfRule type="expression" dxfId="23" priority="18" stopIfTrue="1">
      <formula>$P$26=2</formula>
    </cfRule>
  </conditionalFormatting>
  <conditionalFormatting sqref="L26">
    <cfRule type="expression" dxfId="22" priority="19" stopIfTrue="1">
      <formula>$P$26=1</formula>
    </cfRule>
  </conditionalFormatting>
  <conditionalFormatting sqref="J26">
    <cfRule type="expression" dxfId="21" priority="20" stopIfTrue="1">
      <formula>$P$26=2</formula>
    </cfRule>
  </conditionalFormatting>
  <conditionalFormatting sqref="C49:J49">
    <cfRule type="expression" dxfId="20" priority="21" stopIfTrue="1">
      <formula>AND($G$47&gt;=$G$35,($G$47&lt;&gt;0))</formula>
    </cfRule>
  </conditionalFormatting>
  <conditionalFormatting sqref="C69:J69">
    <cfRule type="expression" dxfId="19" priority="22" stopIfTrue="1">
      <formula>OR(AND(NOT(ISBLANK($G$67)),$P$69=1,$G$67&lt;=25),AND(NOT(ISBLANK($G$67)),$P$69&lt;&gt;1,$G$67&lt;=40))</formula>
    </cfRule>
  </conditionalFormatting>
  <conditionalFormatting sqref="C78:L78">
    <cfRule type="expression" dxfId="18" priority="23" stopIfTrue="1">
      <formula>$P$78=1</formula>
    </cfRule>
  </conditionalFormatting>
  <conditionalFormatting sqref="C28:J28">
    <cfRule type="expression" dxfId="17" priority="24" stopIfTrue="1">
      <formula>AND($P$26=2,$L$26&gt;0.125*$G$19)</formula>
    </cfRule>
    <cfRule type="expression" dxfId="16" priority="25" stopIfTrue="1">
      <formula>$P$26=1</formula>
    </cfRule>
    <cfRule type="expression" dxfId="15" priority="26" stopIfTrue="1">
      <formula>AND($P$26=2,$L$26=0)</formula>
    </cfRule>
  </conditionalFormatting>
  <conditionalFormatting sqref="C40:J40">
    <cfRule type="expression" dxfId="14" priority="27" stopIfTrue="1">
      <formula>AND($P$38=2,$L$38&gt;0.025*$G$19)</formula>
    </cfRule>
    <cfRule type="expression" dxfId="13" priority="28" stopIfTrue="1">
      <formula>$P$38=1</formula>
    </cfRule>
    <cfRule type="expression" dxfId="12" priority="29" stopIfTrue="1">
      <formula>AND($P$38=2,$L$38=0)</formula>
    </cfRule>
  </conditionalFormatting>
  <conditionalFormatting sqref="L75:M75">
    <cfRule type="expression" dxfId="11" priority="30" stopIfTrue="1">
      <formula>AND(NOT(ISBLANK($G$75)),ISBLANK($I$75))</formula>
    </cfRule>
  </conditionalFormatting>
  <conditionalFormatting sqref="C101:M101">
    <cfRule type="expression" dxfId="10" priority="31" stopIfTrue="1">
      <formula>$I$99="Not Valid"</formula>
    </cfRule>
  </conditionalFormatting>
  <conditionalFormatting sqref="E26">
    <cfRule type="expression" dxfId="9" priority="32" stopIfTrue="1">
      <formula>P26=1</formula>
    </cfRule>
    <cfRule type="expression" dxfId="8" priority="33" stopIfTrue="1">
      <formula>AND(P26=2,ISBLANK(L26))</formula>
    </cfRule>
  </conditionalFormatting>
  <conditionalFormatting sqref="J42">
    <cfRule type="expression" dxfId="7" priority="34" stopIfTrue="1">
      <formula>$P$42=2</formula>
    </cfRule>
    <cfRule type="expression" dxfId="6" priority="35" stopIfTrue="1">
      <formula>AND($P$42=1,ISBLANK(J42))</formula>
    </cfRule>
  </conditionalFormatting>
  <conditionalFormatting sqref="L44:M51">
    <cfRule type="expression" dxfId="5" priority="36" stopIfTrue="1">
      <formula>AND($P$42=1,ISBLANK($J$42))</formula>
    </cfRule>
  </conditionalFormatting>
  <conditionalFormatting sqref="K15:M15">
    <cfRule type="expression" dxfId="4" priority="37" stopIfTrue="1">
      <formula>AND(NOT(ISBLANK($G$15)),$G$15&gt;0,ISBLANK($I$15))</formula>
    </cfRule>
  </conditionalFormatting>
  <conditionalFormatting sqref="E38">
    <cfRule type="expression" dxfId="3" priority="39" stopIfTrue="1">
      <formula>P38=1</formula>
    </cfRule>
    <cfRule type="expression" dxfId="2" priority="40" stopIfTrue="1">
      <formula>AND($P$38=2,$L$38=0)</formula>
    </cfRule>
  </conditionalFormatting>
  <conditionalFormatting sqref="E43">
    <cfRule type="expression" dxfId="1" priority="41" stopIfTrue="1">
      <formula>AND($G$43=0,$G$43&lt;&gt;"")</formula>
    </cfRule>
  </conditionalFormatting>
  <conditionalFormatting sqref="C45:J45">
    <cfRule type="expression" dxfId="0" priority="42" stopIfTrue="1">
      <formula>AND(NOT($E$43="n/a"),OR(ISBLANK($G$43),$G$43=0),$G$19&lt;&gt;0)</formula>
    </cfRule>
  </conditionalFormatting>
  <dataValidations xWindow="926" yWindow="772" count="14">
    <dataValidation type="decimal" operator="lessThanOrEqual" allowBlank="1" showInputMessage="1" showErrorMessage="1" errorTitle="WARNING: Please check this value" error="Unbilled unmetered consumption cannont be greater than Total System Input Volume. Please check the input value and try again." sqref="G29:H29">
      <formula1>G25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G18">
      <formula1>G11</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I75:K75">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L42:M42 H65">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J42">
      <formula1>0.1</formula1>
    </dataValidation>
    <dataValidation type="decimal" operator="greaterThan" allowBlank="1" showErrorMessage="1" errorTitle="Unauthorized Consumption" error="You cannot enter a zero or negative value. Use the default percentage if you are unsure of actual unauthorized consumption" promptTitle="Unbilled Unmetered Losses" prompt="Use the default percentage" sqref="L38:M38">
      <formula1>0</formula1>
    </dataValidation>
    <dataValidation type="list" allowBlank="1" showInputMessage="1" showErrorMessage="1" promptTitle="Master meter error adjustment" prompt="If a meter adjustment has been entered, please select if the meter has under-registered or over-registered by this amount." sqref="I15:J15">
      <formula1>"under-registered,over-registered"</formula1>
    </dataValidation>
    <dataValidation type="decimal" operator="greaterThan" allowBlank="1" showErrorMessage="1" errorTitle="Unbilled Unmetered Consumption" error="You cannot enter a zero or negative value. Use the default percentage if you are unsure of actual unbilled unmetered consumption" promptTitle="Unbilled Unmetered Losses" prompt="Use the default percentage" sqref="L26:M26">
      <formula1>0</formula1>
    </dataValidation>
    <dataValidation type="list" allowBlank="1" showInputMessage="1" showErrorMessage="1" errorTitle="Component Grading" error="Please restrict your entry to 0 - 10. See the comment box attached to this cell or Grading Matrix worksheet for more information" sqref="E14:E17 E23:E25 E42">
      <formula1>"n/a,1,2,3,4,5,6,7,8,9,10"</formula1>
    </dataValidation>
    <dataValidation type="list" allowBlank="1" showInputMessage="1" showErrorMessage="1" errorTitle="Component Grading" error="Please restrict your entry to 0 - 10. See the comment box attached to this cell or Grading Matrix worksheet for more information" sqref="E26 E38 E62:E63 E67 E43 E65 E74:E76">
      <formula1>"1,2,3,4,5,6,7,8,9,10"</formula1>
    </dataValidation>
    <dataValidation type="decimal" operator="greaterThanOrEqual" allowBlank="1" showErrorMessage="1" errorTitle="Data Validation" error="Enter a numerical value greater than or equal to zero" promptTitle="Data Validation" prompt="Enter a numerical value greater than or equal to zero" sqref="G14:G17 G23:G25 G62:G63 G74:G76">
      <formula1>0</formula1>
    </dataValidation>
    <dataValidation type="decimal" operator="greaterThan" allowBlank="1" showErrorMessage="1" errorTitle="Data Validation" error="Enter a numerical value" promptTitle="Data Validation" prompt="Enter a numerical value greater than or equal to zero" sqref="G43">
      <formula1>-1E+25</formula1>
    </dataValidation>
    <dataValidation type="decimal" errorStyle="warning" operator="lessThanOrEqual" allowBlank="1" showErrorMessage="1" errorTitle="Customer Service Lines" error="The value you entered is greater than an assumed maximum reasonable value." sqref="G65">
      <formula1>100</formula1>
    </dataValidation>
    <dataValidation type="decimal" errorStyle="warning" operator="lessThanOrEqual" allowBlank="1" showErrorMessage="1" errorTitle="Average Operating Pressure" error="The value you entered is greater than an assumed maximum reasonable value." sqref="G67">
      <formula1>200</formula1>
    </dataValidation>
  </dataValidations>
  <printOptions horizontalCentered="1" verticalCentered="1" gridLines="1"/>
  <pageMargins left="0.36" right="0.37" top="0.49" bottom="0.42" header="0.22" footer="0.22"/>
  <pageSetup scale="56" orientation="portrait" horizontalDpi="1200" r:id="rId1"/>
  <headerFooter alignWithMargins="0">
    <oddFooter>&amp;CAWWA Water Loss Control Committee&amp;R&amp;A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827" r:id="rId4" name="Group Box 35">
              <controlPr defaultSize="0" autoFill="0" autoPict="0">
                <anchor moveWithCells="1" sizeWithCells="1">
                  <from>
                    <xdr:col>10</xdr:col>
                    <xdr:colOff>9525</xdr:colOff>
                    <xdr:row>25</xdr:row>
                    <xdr:rowOff>0</xdr:rowOff>
                  </from>
                  <to>
                    <xdr:col>10</xdr:col>
                    <xdr:colOff>590550</xdr:colOff>
                    <xdr:row>26</xdr:row>
                    <xdr:rowOff>0</xdr:rowOff>
                  </to>
                </anchor>
              </controlPr>
            </control>
          </mc:Choice>
        </mc:AlternateContent>
        <mc:AlternateContent xmlns:mc="http://schemas.openxmlformats.org/markup-compatibility/2006">
          <mc:Choice Requires="x14">
            <control shapeId="33828" r:id="rId5" name="Option Button 36">
              <controlPr defaultSize="0" autoFill="0" autoLine="0" autoPict="0">
                <anchor moveWithCells="1" sizeWithCells="1">
                  <from>
                    <xdr:col>10</xdr:col>
                    <xdr:colOff>57150</xdr:colOff>
                    <xdr:row>25</xdr:row>
                    <xdr:rowOff>28575</xdr:rowOff>
                  </from>
                  <to>
                    <xdr:col>10</xdr:col>
                    <xdr:colOff>342900</xdr:colOff>
                    <xdr:row>25</xdr:row>
                    <xdr:rowOff>180975</xdr:rowOff>
                  </to>
                </anchor>
              </controlPr>
            </control>
          </mc:Choice>
        </mc:AlternateContent>
        <mc:AlternateContent xmlns:mc="http://schemas.openxmlformats.org/markup-compatibility/2006">
          <mc:Choice Requires="x14">
            <control shapeId="33829" r:id="rId6" name="Option Button 37">
              <controlPr defaultSize="0" autoFill="0" autoLine="0" autoPict="0">
                <anchor moveWithCells="1" sizeWithCells="1">
                  <from>
                    <xdr:col>10</xdr:col>
                    <xdr:colOff>304800</xdr:colOff>
                    <xdr:row>25</xdr:row>
                    <xdr:rowOff>28575</xdr:rowOff>
                  </from>
                  <to>
                    <xdr:col>10</xdr:col>
                    <xdr:colOff>590550</xdr:colOff>
                    <xdr:row>25</xdr:row>
                    <xdr:rowOff>180975</xdr:rowOff>
                  </to>
                </anchor>
              </controlPr>
            </control>
          </mc:Choice>
        </mc:AlternateContent>
        <mc:AlternateContent xmlns:mc="http://schemas.openxmlformats.org/markup-compatibility/2006">
          <mc:Choice Requires="x14">
            <control shapeId="33823" r:id="rId7" name="Group Box 31">
              <controlPr defaultSize="0" autoFill="0" autoPict="0">
                <anchor moveWithCells="1" sizeWithCells="1">
                  <from>
                    <xdr:col>10</xdr:col>
                    <xdr:colOff>9525</xdr:colOff>
                    <xdr:row>41</xdr:row>
                    <xdr:rowOff>0</xdr:rowOff>
                  </from>
                  <to>
                    <xdr:col>10</xdr:col>
                    <xdr:colOff>590550</xdr:colOff>
                    <xdr:row>42</xdr:row>
                    <xdr:rowOff>0</xdr:rowOff>
                  </to>
                </anchor>
              </controlPr>
            </control>
          </mc:Choice>
        </mc:AlternateContent>
        <mc:AlternateContent xmlns:mc="http://schemas.openxmlformats.org/markup-compatibility/2006">
          <mc:Choice Requires="x14">
            <control shapeId="33824" r:id="rId8" name="Option Button 32">
              <controlPr defaultSize="0" autoFill="0" autoLine="0" autoPict="0">
                <anchor moveWithCells="1" sizeWithCells="1">
                  <from>
                    <xdr:col>10</xdr:col>
                    <xdr:colOff>57150</xdr:colOff>
                    <xdr:row>41</xdr:row>
                    <xdr:rowOff>28575</xdr:rowOff>
                  </from>
                  <to>
                    <xdr:col>10</xdr:col>
                    <xdr:colOff>342900</xdr:colOff>
                    <xdr:row>41</xdr:row>
                    <xdr:rowOff>180975</xdr:rowOff>
                  </to>
                </anchor>
              </controlPr>
            </control>
          </mc:Choice>
        </mc:AlternateContent>
        <mc:AlternateContent xmlns:mc="http://schemas.openxmlformats.org/markup-compatibility/2006">
          <mc:Choice Requires="x14">
            <control shapeId="33825" r:id="rId9" name="Option Button 33">
              <controlPr defaultSize="0" autoFill="0" autoLine="0" autoPict="0">
                <anchor moveWithCells="1" sizeWithCells="1">
                  <from>
                    <xdr:col>10</xdr:col>
                    <xdr:colOff>304800</xdr:colOff>
                    <xdr:row>41</xdr:row>
                    <xdr:rowOff>28575</xdr:rowOff>
                  </from>
                  <to>
                    <xdr:col>10</xdr:col>
                    <xdr:colOff>590550</xdr:colOff>
                    <xdr:row>41</xdr:row>
                    <xdr:rowOff>180975</xdr:rowOff>
                  </to>
                </anchor>
              </controlPr>
            </control>
          </mc:Choice>
        </mc:AlternateContent>
        <mc:AlternateContent xmlns:mc="http://schemas.openxmlformats.org/markup-compatibility/2006">
          <mc:Choice Requires="x14">
            <control shapeId="33819" r:id="rId10" name="Group Box 27">
              <controlPr defaultSize="0" autoFill="0" autoPict="0">
                <anchor moveWithCells="1" sizeWithCells="1">
                  <from>
                    <xdr:col>10</xdr:col>
                    <xdr:colOff>9525</xdr:colOff>
                    <xdr:row>37</xdr:row>
                    <xdr:rowOff>0</xdr:rowOff>
                  </from>
                  <to>
                    <xdr:col>10</xdr:col>
                    <xdr:colOff>590550</xdr:colOff>
                    <xdr:row>38</xdr:row>
                    <xdr:rowOff>0</xdr:rowOff>
                  </to>
                </anchor>
              </controlPr>
            </control>
          </mc:Choice>
        </mc:AlternateContent>
        <mc:AlternateContent xmlns:mc="http://schemas.openxmlformats.org/markup-compatibility/2006">
          <mc:Choice Requires="x14">
            <control shapeId="33820" r:id="rId11" name="Option Button 28">
              <controlPr defaultSize="0" autoFill="0" autoLine="0" autoPict="0">
                <anchor moveWithCells="1" sizeWithCells="1">
                  <from>
                    <xdr:col>10</xdr:col>
                    <xdr:colOff>57150</xdr:colOff>
                    <xdr:row>37</xdr:row>
                    <xdr:rowOff>28575</xdr:rowOff>
                  </from>
                  <to>
                    <xdr:col>10</xdr:col>
                    <xdr:colOff>342900</xdr:colOff>
                    <xdr:row>37</xdr:row>
                    <xdr:rowOff>180975</xdr:rowOff>
                  </to>
                </anchor>
              </controlPr>
            </control>
          </mc:Choice>
        </mc:AlternateContent>
        <mc:AlternateContent xmlns:mc="http://schemas.openxmlformats.org/markup-compatibility/2006">
          <mc:Choice Requires="x14">
            <control shapeId="33821" r:id="rId12" name="Option Button 29">
              <controlPr defaultSize="0" autoFill="0" autoLine="0" autoPict="0">
                <anchor moveWithCells="1" sizeWithCells="1">
                  <from>
                    <xdr:col>10</xdr:col>
                    <xdr:colOff>304800</xdr:colOff>
                    <xdr:row>37</xdr:row>
                    <xdr:rowOff>28575</xdr:rowOff>
                  </from>
                  <to>
                    <xdr:col>10</xdr:col>
                    <xdr:colOff>590550</xdr:colOff>
                    <xdr:row>37</xdr:row>
                    <xdr:rowOff>180975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79998168889431442"/>
  </sheetPr>
  <dimension ref="A1:IU93"/>
  <sheetViews>
    <sheetView showGridLines="0" zoomScaleNormal="100" workbookViewId="0">
      <pane ySplit="2" topLeftCell="A3" activePane="bottomLeft" state="frozen"/>
      <selection pane="bottomLeft" activeCell="E17" sqref="E17"/>
    </sheetView>
  </sheetViews>
  <sheetFormatPr defaultColWidth="0" defaultRowHeight="0" customHeight="1" zeroHeight="1"/>
  <cols>
    <col min="1" max="1" width="1.42578125" style="19" customWidth="1"/>
    <col min="2" max="2" width="1.7109375" style="19" customWidth="1"/>
    <col min="3" max="3" width="18.5703125" style="1" customWidth="1"/>
    <col min="4" max="4" width="9.140625" style="1" customWidth="1"/>
    <col min="5" max="5" width="13.5703125" style="1" customWidth="1"/>
    <col min="6" max="6" width="9.5703125" style="1" customWidth="1"/>
    <col min="7" max="17" width="8" style="1" customWidth="1"/>
    <col min="18" max="18" width="8.42578125" style="1" customWidth="1"/>
    <col min="19" max="19" width="2.140625" style="169" customWidth="1"/>
    <col min="20" max="20" width="1.7109375" style="90" customWidth="1"/>
    <col min="21" max="21" width="2.140625" style="147" hidden="1" customWidth="1"/>
    <col min="22" max="22" width="3" style="147" hidden="1" customWidth="1"/>
    <col min="23" max="255" width="0" style="1" hidden="1" customWidth="1"/>
    <col min="256" max="16384" width="3.140625" style="1" hidden="1"/>
  </cols>
  <sheetData>
    <row r="1" spans="1:22" s="18" customFormat="1" ht="8.25" customHeight="1" thickBot="1">
      <c r="A1" s="638"/>
      <c r="B1" s="638"/>
      <c r="C1" s="639"/>
      <c r="D1" s="639"/>
      <c r="E1" s="639"/>
      <c r="F1" s="639"/>
      <c r="G1" s="639"/>
      <c r="H1" s="639"/>
      <c r="I1" s="639"/>
      <c r="J1" s="639"/>
      <c r="K1" s="639"/>
      <c r="L1" s="639"/>
      <c r="M1" s="639"/>
      <c r="N1" s="639"/>
      <c r="O1" s="639"/>
      <c r="P1" s="639"/>
      <c r="Q1" s="639"/>
      <c r="R1" s="639"/>
      <c r="S1" s="640"/>
      <c r="T1" s="639"/>
      <c r="U1" s="147"/>
      <c r="V1" s="147"/>
    </row>
    <row r="2" spans="1:22" ht="42" customHeight="1" thickTop="1">
      <c r="A2" s="638"/>
      <c r="B2" s="1023" t="s">
        <v>398</v>
      </c>
      <c r="C2" s="1024"/>
      <c r="D2" s="1024"/>
      <c r="E2" s="1024"/>
      <c r="F2" s="1024"/>
      <c r="G2" s="1024"/>
      <c r="H2" s="1024"/>
      <c r="I2" s="1024"/>
      <c r="J2" s="1024"/>
      <c r="K2" s="1024"/>
      <c r="L2" s="1024"/>
      <c r="M2" s="1024"/>
      <c r="N2" s="1024"/>
      <c r="O2" s="1024"/>
      <c r="P2" s="1024"/>
      <c r="Q2" s="1024"/>
      <c r="R2" s="1024"/>
      <c r="S2" s="1025"/>
      <c r="T2" s="641"/>
      <c r="U2" s="168"/>
    </row>
    <row r="3" spans="1:22" ht="8.25" customHeight="1" thickBot="1">
      <c r="A3" s="638"/>
      <c r="B3" s="452"/>
      <c r="C3" s="462"/>
      <c r="D3" s="462"/>
      <c r="E3" s="462"/>
      <c r="F3" s="462"/>
      <c r="G3" s="453"/>
      <c r="H3" s="453"/>
      <c r="I3" s="453"/>
      <c r="J3" s="453"/>
      <c r="K3" s="453"/>
      <c r="L3" s="453"/>
      <c r="M3" s="453"/>
      <c r="N3" s="453"/>
      <c r="O3" s="453"/>
      <c r="P3" s="453"/>
      <c r="Q3" s="453"/>
      <c r="R3" s="453"/>
      <c r="S3" s="454"/>
      <c r="T3" s="642"/>
      <c r="U3" s="167"/>
    </row>
    <row r="4" spans="1:22" s="373" customFormat="1" ht="46.5" customHeight="1" thickBot="1">
      <c r="A4" s="614"/>
      <c r="B4" s="474"/>
      <c r="C4" s="1079" t="s">
        <v>803</v>
      </c>
      <c r="D4" s="1080"/>
      <c r="E4" s="1080"/>
      <c r="F4" s="1080"/>
      <c r="G4" s="1080"/>
      <c r="H4" s="1080"/>
      <c r="I4" s="1080"/>
      <c r="J4" s="1080"/>
      <c r="K4" s="1080"/>
      <c r="L4" s="1080"/>
      <c r="M4" s="1080"/>
      <c r="N4" s="1080"/>
      <c r="O4" s="1080"/>
      <c r="P4" s="1080"/>
      <c r="Q4" s="1080"/>
      <c r="R4" s="1081"/>
      <c r="S4" s="475"/>
      <c r="T4" s="643"/>
      <c r="U4" s="25"/>
      <c r="V4" s="476"/>
    </row>
    <row r="5" spans="1:22" s="373" customFormat="1" ht="7.5" customHeight="1" thickBot="1">
      <c r="A5" s="614"/>
      <c r="B5" s="474"/>
      <c r="C5" s="477"/>
      <c r="D5" s="471"/>
      <c r="E5" s="471"/>
      <c r="F5" s="471"/>
      <c r="G5" s="471"/>
      <c r="H5" s="471"/>
      <c r="I5" s="471"/>
      <c r="J5" s="471"/>
      <c r="K5" s="471"/>
      <c r="L5" s="471"/>
      <c r="M5" s="471"/>
      <c r="N5" s="471"/>
      <c r="O5" s="471"/>
      <c r="P5" s="471"/>
      <c r="Q5" s="471"/>
      <c r="R5" s="471"/>
      <c r="S5" s="475"/>
      <c r="T5" s="643"/>
      <c r="U5" s="25"/>
      <c r="V5" s="476"/>
    </row>
    <row r="6" spans="1:22" s="373" customFormat="1" ht="61.9" customHeight="1" thickBot="1">
      <c r="A6" s="614"/>
      <c r="B6" s="474"/>
      <c r="C6" s="1082" t="s">
        <v>711</v>
      </c>
      <c r="D6" s="1083"/>
      <c r="E6" s="1083"/>
      <c r="F6" s="1083"/>
      <c r="G6" s="1083"/>
      <c r="H6" s="1083"/>
      <c r="I6" s="1083"/>
      <c r="J6" s="1083"/>
      <c r="K6" s="1083"/>
      <c r="L6" s="1083"/>
      <c r="M6" s="1083"/>
      <c r="N6" s="1083"/>
      <c r="O6" s="1083"/>
      <c r="P6" s="1083"/>
      <c r="Q6" s="1083"/>
      <c r="R6" s="1084"/>
      <c r="S6" s="475"/>
      <c r="T6" s="643"/>
      <c r="U6" s="25"/>
      <c r="V6" s="476"/>
    </row>
    <row r="7" spans="1:22" s="373" customFormat="1" ht="8.25" customHeight="1" thickBot="1">
      <c r="A7" s="614"/>
      <c r="B7" s="474"/>
      <c r="C7" s="472"/>
      <c r="D7" s="472"/>
      <c r="E7" s="472"/>
      <c r="F7" s="472"/>
      <c r="G7" s="473"/>
      <c r="H7" s="473"/>
      <c r="I7" s="473"/>
      <c r="J7" s="473"/>
      <c r="K7" s="473"/>
      <c r="L7" s="473"/>
      <c r="M7" s="473"/>
      <c r="N7" s="473"/>
      <c r="O7" s="473"/>
      <c r="P7" s="473"/>
      <c r="Q7" s="473"/>
      <c r="R7" s="473"/>
      <c r="S7" s="478"/>
      <c r="T7" s="644"/>
      <c r="U7" s="186"/>
      <c r="V7" s="476"/>
    </row>
    <row r="8" spans="1:22" s="373" customFormat="1" ht="15">
      <c r="A8" s="614"/>
      <c r="B8" s="474"/>
      <c r="C8" s="496" t="s">
        <v>85</v>
      </c>
      <c r="D8" s="497" t="s">
        <v>698</v>
      </c>
      <c r="E8" s="483"/>
      <c r="F8" s="483"/>
      <c r="G8" s="484"/>
      <c r="H8" s="484"/>
      <c r="I8" s="484"/>
      <c r="J8" s="480"/>
      <c r="K8" s="480"/>
      <c r="L8" s="480"/>
      <c r="M8" s="480"/>
      <c r="N8" s="480"/>
      <c r="O8" s="480"/>
      <c r="P8" s="480"/>
      <c r="Q8" s="480"/>
      <c r="R8" s="492"/>
      <c r="S8" s="478"/>
      <c r="T8" s="644"/>
      <c r="U8" s="186"/>
      <c r="V8" s="476"/>
    </row>
    <row r="9" spans="1:22" s="373" customFormat="1" ht="15">
      <c r="A9" s="614"/>
      <c r="B9" s="474"/>
      <c r="C9" s="659"/>
      <c r="D9" s="498" t="s">
        <v>710</v>
      </c>
      <c r="E9" s="486"/>
      <c r="F9" s="486"/>
      <c r="G9" s="487"/>
      <c r="H9" s="487"/>
      <c r="I9" s="487"/>
      <c r="J9" s="481"/>
      <c r="K9" s="481"/>
      <c r="L9" s="481"/>
      <c r="M9" s="481"/>
      <c r="N9" s="481"/>
      <c r="O9" s="481"/>
      <c r="P9" s="481"/>
      <c r="Q9" s="481"/>
      <c r="R9" s="493"/>
      <c r="S9" s="478"/>
      <c r="T9" s="644"/>
      <c r="U9" s="186"/>
      <c r="V9" s="476"/>
    </row>
    <row r="10" spans="1:22" s="373" customFormat="1" ht="15">
      <c r="A10" s="614"/>
      <c r="B10" s="474"/>
      <c r="C10" s="659"/>
      <c r="D10" s="498" t="s">
        <v>699</v>
      </c>
      <c r="E10" s="486"/>
      <c r="F10" s="486"/>
      <c r="G10" s="487"/>
      <c r="H10" s="487"/>
      <c r="I10" s="487"/>
      <c r="J10" s="481"/>
      <c r="K10" s="481"/>
      <c r="L10" s="481"/>
      <c r="M10" s="481"/>
      <c r="N10" s="481"/>
      <c r="O10" s="481"/>
      <c r="P10" s="481"/>
      <c r="Q10" s="481"/>
      <c r="R10" s="493"/>
      <c r="S10" s="478"/>
      <c r="T10" s="644"/>
      <c r="U10" s="186"/>
      <c r="V10" s="476"/>
    </row>
    <row r="11" spans="1:22" s="373" customFormat="1" ht="15">
      <c r="A11" s="614"/>
      <c r="B11" s="474"/>
      <c r="C11" s="659"/>
      <c r="D11" s="498" t="s">
        <v>804</v>
      </c>
      <c r="E11" s="486"/>
      <c r="F11" s="486"/>
      <c r="G11" s="487"/>
      <c r="H11" s="487"/>
      <c r="I11" s="487"/>
      <c r="J11" s="481"/>
      <c r="K11" s="481"/>
      <c r="L11" s="481"/>
      <c r="M11" s="481"/>
      <c r="N11" s="481"/>
      <c r="O11" s="481"/>
      <c r="P11" s="481"/>
      <c r="Q11" s="481"/>
      <c r="R11" s="493"/>
      <c r="S11" s="478"/>
      <c r="T11" s="644"/>
      <c r="U11" s="186"/>
      <c r="V11" s="476"/>
    </row>
    <row r="12" spans="1:22" s="373" customFormat="1" ht="15">
      <c r="A12" s="614"/>
      <c r="B12" s="474"/>
      <c r="C12" s="659"/>
      <c r="D12" s="498" t="s">
        <v>700</v>
      </c>
      <c r="E12" s="486"/>
      <c r="F12" s="486"/>
      <c r="G12" s="487"/>
      <c r="H12" s="487"/>
      <c r="I12" s="487"/>
      <c r="J12" s="481"/>
      <c r="K12" s="481"/>
      <c r="L12" s="481"/>
      <c r="M12" s="481"/>
      <c r="N12" s="481"/>
      <c r="O12" s="481"/>
      <c r="P12" s="481"/>
      <c r="Q12" s="481"/>
      <c r="R12" s="493"/>
      <c r="S12" s="478"/>
      <c r="T12" s="644"/>
      <c r="U12" s="186"/>
      <c r="V12" s="476"/>
    </row>
    <row r="13" spans="1:22" s="373" customFormat="1" ht="15">
      <c r="A13" s="614"/>
      <c r="B13" s="474"/>
      <c r="C13" s="659"/>
      <c r="D13" s="498" t="s">
        <v>705</v>
      </c>
      <c r="E13" s="486"/>
      <c r="F13" s="486"/>
      <c r="G13" s="487"/>
      <c r="H13" s="487"/>
      <c r="I13" s="487"/>
      <c r="J13" s="481"/>
      <c r="K13" s="481"/>
      <c r="L13" s="481"/>
      <c r="M13" s="481"/>
      <c r="N13" s="481"/>
      <c r="O13" s="481"/>
      <c r="P13" s="481"/>
      <c r="Q13" s="481"/>
      <c r="R13" s="493"/>
      <c r="S13" s="478"/>
      <c r="T13" s="644"/>
      <c r="U13" s="186"/>
      <c r="V13" s="476"/>
    </row>
    <row r="14" spans="1:22" s="373" customFormat="1" ht="15">
      <c r="A14" s="614"/>
      <c r="B14" s="474"/>
      <c r="C14" s="659"/>
      <c r="D14" s="498" t="s">
        <v>701</v>
      </c>
      <c r="E14" s="486"/>
      <c r="F14" s="486"/>
      <c r="G14" s="487"/>
      <c r="H14" s="487"/>
      <c r="I14" s="487"/>
      <c r="J14" s="481"/>
      <c r="K14" s="481"/>
      <c r="L14" s="481"/>
      <c r="M14" s="481"/>
      <c r="N14" s="481"/>
      <c r="O14" s="481"/>
      <c r="P14" s="481"/>
      <c r="Q14" s="481"/>
      <c r="R14" s="493"/>
      <c r="S14" s="478"/>
      <c r="T14" s="644"/>
      <c r="U14" s="186"/>
      <c r="V14" s="476"/>
    </row>
    <row r="15" spans="1:22" s="373" customFormat="1" ht="15">
      <c r="A15" s="614"/>
      <c r="B15" s="474"/>
      <c r="C15" s="485"/>
      <c r="D15" s="498" t="s">
        <v>702</v>
      </c>
      <c r="E15" s="486"/>
      <c r="F15" s="486"/>
      <c r="G15" s="487"/>
      <c r="H15" s="487"/>
      <c r="I15" s="487"/>
      <c r="J15" s="481"/>
      <c r="K15" s="481"/>
      <c r="L15" s="481"/>
      <c r="M15" s="481"/>
      <c r="N15" s="481"/>
      <c r="O15" s="481"/>
      <c r="P15" s="481"/>
      <c r="Q15" s="481"/>
      <c r="R15" s="493"/>
      <c r="S15" s="478"/>
      <c r="T15" s="644"/>
      <c r="U15" s="186"/>
      <c r="V15" s="476"/>
    </row>
    <row r="16" spans="1:22" s="373" customFormat="1" ht="15" hidden="1">
      <c r="A16" s="614"/>
      <c r="B16" s="474"/>
      <c r="C16" s="479"/>
      <c r="D16" s="498" t="s">
        <v>703</v>
      </c>
      <c r="E16" s="486"/>
      <c r="F16" s="486"/>
      <c r="G16" s="487"/>
      <c r="H16" s="487"/>
      <c r="I16" s="487"/>
      <c r="J16" s="481"/>
      <c r="K16" s="481"/>
      <c r="L16" s="481"/>
      <c r="M16" s="481"/>
      <c r="N16" s="481"/>
      <c r="O16" s="481"/>
      <c r="P16" s="481"/>
      <c r="Q16" s="481"/>
      <c r="R16" s="493"/>
      <c r="S16" s="478"/>
      <c r="T16" s="644"/>
      <c r="U16" s="186"/>
      <c r="V16" s="476"/>
    </row>
    <row r="17" spans="1:22" s="373" customFormat="1" ht="15.75" thickBot="1">
      <c r="A17" s="614"/>
      <c r="B17" s="474"/>
      <c r="C17" s="488"/>
      <c r="D17" s="499" t="s">
        <v>704</v>
      </c>
      <c r="E17" s="489"/>
      <c r="F17" s="489"/>
      <c r="G17" s="490"/>
      <c r="H17" s="490"/>
      <c r="I17" s="490"/>
      <c r="J17" s="482"/>
      <c r="K17" s="482"/>
      <c r="L17" s="482"/>
      <c r="M17" s="482"/>
      <c r="N17" s="482"/>
      <c r="O17" s="482"/>
      <c r="P17" s="482"/>
      <c r="Q17" s="482"/>
      <c r="R17" s="494"/>
      <c r="S17" s="478"/>
      <c r="T17" s="644"/>
      <c r="U17" s="186"/>
      <c r="V17" s="476"/>
    </row>
    <row r="18" spans="1:22" s="373" customFormat="1" ht="8.25" customHeight="1" thickBot="1">
      <c r="A18" s="614"/>
      <c r="B18" s="474"/>
      <c r="C18" s="473"/>
      <c r="D18" s="473"/>
      <c r="E18" s="473"/>
      <c r="F18" s="473"/>
      <c r="G18" s="473"/>
      <c r="H18" s="473"/>
      <c r="I18" s="473"/>
      <c r="J18" s="473"/>
      <c r="K18" s="473"/>
      <c r="L18" s="473"/>
      <c r="M18" s="473"/>
      <c r="N18" s="473"/>
      <c r="O18" s="473"/>
      <c r="P18" s="473"/>
      <c r="Q18" s="473"/>
      <c r="R18" s="473"/>
      <c r="S18" s="478"/>
      <c r="T18" s="644"/>
      <c r="U18" s="186"/>
      <c r="V18" s="476"/>
    </row>
    <row r="19" spans="1:22" s="373" customFormat="1" ht="33.6" customHeight="1">
      <c r="A19" s="614"/>
      <c r="B19" s="474"/>
      <c r="C19" s="495" t="s">
        <v>84</v>
      </c>
      <c r="D19" s="1075" t="s">
        <v>289</v>
      </c>
      <c r="E19" s="1075"/>
      <c r="F19" s="1075"/>
      <c r="G19" s="1075"/>
      <c r="H19" s="1075"/>
      <c r="I19" s="1075"/>
      <c r="J19" s="1075"/>
      <c r="K19" s="1075"/>
      <c r="L19" s="1075"/>
      <c r="M19" s="1075"/>
      <c r="N19" s="1075"/>
      <c r="O19" s="1075"/>
      <c r="P19" s="1075"/>
      <c r="Q19" s="1075"/>
      <c r="R19" s="1076"/>
      <c r="S19" s="478"/>
      <c r="T19" s="644"/>
      <c r="U19" s="186"/>
      <c r="V19" s="476"/>
    </row>
    <row r="20" spans="1:22" s="373" customFormat="1" ht="73.5" customHeight="1" thickBot="1">
      <c r="A20" s="614"/>
      <c r="B20" s="474"/>
      <c r="C20" s="491"/>
      <c r="D20" s="1077" t="s">
        <v>397</v>
      </c>
      <c r="E20" s="1077"/>
      <c r="F20" s="1077"/>
      <c r="G20" s="1077"/>
      <c r="H20" s="1077"/>
      <c r="I20" s="1077"/>
      <c r="J20" s="1077"/>
      <c r="K20" s="1077"/>
      <c r="L20" s="1077"/>
      <c r="M20" s="1077"/>
      <c r="N20" s="1077"/>
      <c r="O20" s="1077"/>
      <c r="P20" s="1077"/>
      <c r="Q20" s="1077"/>
      <c r="R20" s="1078"/>
      <c r="S20" s="478"/>
      <c r="T20" s="644"/>
      <c r="U20" s="186"/>
      <c r="V20" s="476"/>
    </row>
    <row r="21" spans="1:22" s="373" customFormat="1" ht="8.25" customHeight="1" thickBot="1">
      <c r="A21" s="614"/>
      <c r="B21" s="474"/>
      <c r="C21" s="473"/>
      <c r="D21" s="473"/>
      <c r="E21" s="473"/>
      <c r="F21" s="473"/>
      <c r="G21" s="473"/>
      <c r="H21" s="473"/>
      <c r="I21" s="473"/>
      <c r="J21" s="473"/>
      <c r="K21" s="473"/>
      <c r="L21" s="473"/>
      <c r="M21" s="473"/>
      <c r="N21" s="473"/>
      <c r="O21" s="473"/>
      <c r="P21" s="473"/>
      <c r="Q21" s="473"/>
      <c r="R21" s="473"/>
      <c r="S21" s="478"/>
      <c r="T21" s="644"/>
      <c r="U21" s="186"/>
      <c r="V21" s="476"/>
    </row>
    <row r="22" spans="1:22" s="373" customFormat="1" ht="24" customHeight="1">
      <c r="A22" s="614"/>
      <c r="B22" s="474"/>
      <c r="C22" s="784" t="s">
        <v>773</v>
      </c>
      <c r="D22" s="778"/>
      <c r="E22" s="778"/>
      <c r="F22" s="778"/>
      <c r="G22" s="778"/>
      <c r="H22" s="778"/>
      <c r="I22" s="778"/>
      <c r="J22" s="778"/>
      <c r="K22" s="778"/>
      <c r="L22" s="778"/>
      <c r="M22" s="778"/>
      <c r="N22" s="778"/>
      <c r="O22" s="778"/>
      <c r="P22" s="778"/>
      <c r="Q22" s="778"/>
      <c r="R22" s="779"/>
      <c r="S22" s="478"/>
      <c r="T22" s="644"/>
      <c r="U22" s="186"/>
      <c r="V22" s="476"/>
    </row>
    <row r="23" spans="1:22" s="373" customFormat="1" ht="37.9" customHeight="1">
      <c r="A23" s="614"/>
      <c r="B23" s="474"/>
      <c r="C23" s="785" t="s">
        <v>783</v>
      </c>
      <c r="D23" s="783" t="s">
        <v>782</v>
      </c>
      <c r="E23" s="783" t="s">
        <v>784</v>
      </c>
      <c r="F23" s="1088" t="s">
        <v>787</v>
      </c>
      <c r="G23" s="1089"/>
      <c r="H23" s="1089"/>
      <c r="I23" s="1089"/>
      <c r="J23" s="1089"/>
      <c r="K23" s="1089"/>
      <c r="L23" s="1089"/>
      <c r="M23" s="1089"/>
      <c r="N23" s="1089"/>
      <c r="O23" s="1089"/>
      <c r="P23" s="1089"/>
      <c r="Q23" s="1089"/>
      <c r="R23" s="1090"/>
      <c r="S23" s="478"/>
      <c r="T23" s="644"/>
      <c r="U23" s="186"/>
      <c r="V23" s="476"/>
    </row>
    <row r="24" spans="1:22" s="373" customFormat="1" ht="34.9" customHeight="1">
      <c r="A24" s="614"/>
      <c r="B24" s="474"/>
      <c r="C24" s="786" t="s">
        <v>774</v>
      </c>
      <c r="D24" s="781" t="s">
        <v>785</v>
      </c>
      <c r="E24" s="782">
        <v>5</v>
      </c>
      <c r="F24" s="1072" t="s">
        <v>779</v>
      </c>
      <c r="G24" s="1073"/>
      <c r="H24" s="1073"/>
      <c r="I24" s="1073"/>
      <c r="J24" s="1073"/>
      <c r="K24" s="1073"/>
      <c r="L24" s="1073"/>
      <c r="M24" s="1073"/>
      <c r="N24" s="1073"/>
      <c r="O24" s="1073"/>
      <c r="P24" s="1073"/>
      <c r="Q24" s="1073"/>
      <c r="R24" s="1074"/>
      <c r="S24" s="478"/>
      <c r="T24" s="644"/>
      <c r="U24" s="186"/>
      <c r="V24" s="476"/>
    </row>
    <row r="25" spans="1:22" s="373" customFormat="1" ht="47.45" customHeight="1">
      <c r="A25" s="614"/>
      <c r="B25" s="474"/>
      <c r="C25" s="786" t="s">
        <v>775</v>
      </c>
      <c r="D25" s="782">
        <v>2006</v>
      </c>
      <c r="E25" s="782">
        <v>5</v>
      </c>
      <c r="F25" s="1072" t="s">
        <v>780</v>
      </c>
      <c r="G25" s="1073"/>
      <c r="H25" s="1073"/>
      <c r="I25" s="1073"/>
      <c r="J25" s="1073"/>
      <c r="K25" s="1073"/>
      <c r="L25" s="1073"/>
      <c r="M25" s="1073"/>
      <c r="N25" s="1073"/>
      <c r="O25" s="1073"/>
      <c r="P25" s="1073"/>
      <c r="Q25" s="1073"/>
      <c r="R25" s="1074"/>
      <c r="S25" s="478"/>
      <c r="T25" s="644"/>
      <c r="U25" s="186"/>
      <c r="V25" s="476"/>
    </row>
    <row r="26" spans="1:22" s="373" customFormat="1" ht="59.45" customHeight="1">
      <c r="A26" s="614"/>
      <c r="B26" s="474"/>
      <c r="C26" s="786" t="s">
        <v>776</v>
      </c>
      <c r="D26" s="782">
        <v>2007</v>
      </c>
      <c r="E26" s="782">
        <v>7</v>
      </c>
      <c r="F26" s="1072" t="s">
        <v>781</v>
      </c>
      <c r="G26" s="1073"/>
      <c r="H26" s="1073"/>
      <c r="I26" s="1073"/>
      <c r="J26" s="1073"/>
      <c r="K26" s="1073"/>
      <c r="L26" s="1073"/>
      <c r="M26" s="1073"/>
      <c r="N26" s="1073"/>
      <c r="O26" s="1073"/>
      <c r="P26" s="1073"/>
      <c r="Q26" s="1073"/>
      <c r="R26" s="1074"/>
      <c r="S26" s="478"/>
      <c r="T26" s="644"/>
      <c r="U26" s="186"/>
      <c r="V26" s="476"/>
    </row>
    <row r="27" spans="1:22" s="373" customFormat="1" ht="137.44999999999999" customHeight="1">
      <c r="A27" s="614"/>
      <c r="B27" s="474"/>
      <c r="C27" s="786" t="s">
        <v>777</v>
      </c>
      <c r="D27" s="782">
        <v>2010</v>
      </c>
      <c r="E27" s="782">
        <v>10</v>
      </c>
      <c r="F27" s="1072" t="s">
        <v>789</v>
      </c>
      <c r="G27" s="1073"/>
      <c r="H27" s="1073"/>
      <c r="I27" s="1073"/>
      <c r="J27" s="1073"/>
      <c r="K27" s="1073"/>
      <c r="L27" s="1073"/>
      <c r="M27" s="1073"/>
      <c r="N27" s="1073"/>
      <c r="O27" s="1073"/>
      <c r="P27" s="1073"/>
      <c r="Q27" s="1073"/>
      <c r="R27" s="1074"/>
      <c r="S27" s="478"/>
      <c r="T27" s="644"/>
      <c r="U27" s="186"/>
      <c r="V27" s="476"/>
    </row>
    <row r="28" spans="1:22" s="373" customFormat="1" ht="110.45" customHeight="1" thickBot="1">
      <c r="A28" s="614"/>
      <c r="B28" s="474"/>
      <c r="C28" s="787" t="s">
        <v>778</v>
      </c>
      <c r="D28" s="788">
        <v>2014</v>
      </c>
      <c r="E28" s="788">
        <v>12</v>
      </c>
      <c r="F28" s="1085" t="s">
        <v>786</v>
      </c>
      <c r="G28" s="1086"/>
      <c r="H28" s="1086"/>
      <c r="I28" s="1086"/>
      <c r="J28" s="1086"/>
      <c r="K28" s="1086"/>
      <c r="L28" s="1086"/>
      <c r="M28" s="1086"/>
      <c r="N28" s="1086"/>
      <c r="O28" s="1086"/>
      <c r="P28" s="1086"/>
      <c r="Q28" s="1086"/>
      <c r="R28" s="1087"/>
      <c r="S28" s="478"/>
      <c r="T28" s="644"/>
      <c r="U28" s="186"/>
      <c r="V28" s="476"/>
    </row>
    <row r="29" spans="1:22" ht="6" customHeight="1" thickBot="1">
      <c r="A29" s="638"/>
      <c r="B29" s="457"/>
      <c r="C29" s="464"/>
      <c r="D29" s="464"/>
      <c r="E29" s="464"/>
      <c r="F29" s="464"/>
      <c r="G29" s="464"/>
      <c r="H29" s="464"/>
      <c r="I29" s="464"/>
      <c r="J29" s="464"/>
      <c r="K29" s="464"/>
      <c r="L29" s="464"/>
      <c r="M29" s="464"/>
      <c r="N29" s="464"/>
      <c r="O29" s="464"/>
      <c r="P29" s="464"/>
      <c r="Q29" s="464"/>
      <c r="R29" s="464"/>
      <c r="S29" s="461"/>
      <c r="T29" s="642"/>
      <c r="U29" s="167"/>
    </row>
    <row r="30" spans="1:22" ht="6" customHeight="1" thickTop="1">
      <c r="A30" s="638"/>
      <c r="B30" s="638"/>
      <c r="C30" s="639"/>
      <c r="D30" s="639"/>
      <c r="E30" s="639"/>
      <c r="F30" s="639"/>
      <c r="G30" s="639"/>
      <c r="H30" s="639"/>
      <c r="I30" s="639"/>
      <c r="J30" s="639"/>
      <c r="K30" s="639"/>
      <c r="L30" s="639"/>
      <c r="M30" s="639"/>
      <c r="N30" s="639"/>
      <c r="O30" s="639"/>
      <c r="P30" s="639"/>
      <c r="Q30" s="639"/>
      <c r="R30" s="639"/>
      <c r="S30" s="640"/>
      <c r="T30" s="639"/>
    </row>
    <row r="31" spans="1:22" ht="13.5" hidden="1"/>
    <row r="32" spans="1:22" ht="13.5" hidden="1"/>
    <row r="33" ht="13.5" hidden="1"/>
    <row r="34" ht="13.5" hidden="1"/>
    <row r="35" ht="13.5" hidden="1"/>
    <row r="36" ht="13.5" hidden="1"/>
    <row r="37" ht="13.5" hidden="1"/>
    <row r="38" ht="13.5" hidden="1"/>
    <row r="39" ht="13.5" hidden="1"/>
    <row r="40" ht="13.5" hidden="1"/>
    <row r="41" ht="13.5" hidden="1"/>
    <row r="42" ht="13.5" hidden="1"/>
    <row r="43" ht="13.5" hidden="1"/>
    <row r="44" ht="13.5" hidden="1"/>
    <row r="45" ht="13.5" hidden="1"/>
    <row r="46" ht="13.5" hidden="1"/>
    <row r="47" ht="13.5" hidden="1"/>
    <row r="48"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customHeight="1"/>
  </sheetData>
  <sheetProtection password="8B16" sheet="1" objects="1" scenarios="1" selectLockedCells="1"/>
  <mergeCells count="11">
    <mergeCell ref="B2:S2"/>
    <mergeCell ref="F28:R28"/>
    <mergeCell ref="F23:R23"/>
    <mergeCell ref="F24:R24"/>
    <mergeCell ref="F25:R25"/>
    <mergeCell ref="F26:R26"/>
    <mergeCell ref="F27:R27"/>
    <mergeCell ref="D19:R19"/>
    <mergeCell ref="D20:R20"/>
    <mergeCell ref="C4:R4"/>
    <mergeCell ref="C6:R6"/>
  </mergeCells>
  <phoneticPr fontId="0" type="noConversion"/>
  <printOptions horizontalCentered="1" verticalCentered="1"/>
  <pageMargins left="0.25" right="0.25" top="0.75" bottom="0.75" header="0.3" footer="0.3"/>
  <pageSetup scale="78" orientation="landscape" horizontalDpi="1200" r:id="rId1"/>
  <headerFooter alignWithMargins="0">
    <oddFooter>&amp;CAWWA Free Water Audit Software v5.0&amp;R&amp;A     &amp;P</oddFooter>
  </headerFooter>
  <rowBreaks count="1" manualBreakCount="1">
    <brk id="2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99"/>
  <sheetViews>
    <sheetView topLeftCell="A70" workbookViewId="0">
      <selection activeCell="B102" sqref="B102"/>
    </sheetView>
  </sheetViews>
  <sheetFormatPr defaultRowHeight="12.75"/>
  <cols>
    <col min="1" max="1" width="32.28515625" style="82" customWidth="1"/>
    <col min="2" max="2" width="20.28515625" style="82" customWidth="1"/>
    <col min="3" max="3" width="23.28515625" style="82" bestFit="1" customWidth="1"/>
    <col min="4" max="4" width="12.5703125" style="82" bestFit="1" customWidth="1"/>
    <col min="5" max="5" width="12" style="82" bestFit="1" customWidth="1"/>
    <col min="6" max="6" width="12.7109375" style="82" customWidth="1"/>
    <col min="7" max="7" width="16.85546875" style="82" customWidth="1"/>
    <col min="8" max="8" width="8.28515625" style="82" customWidth="1"/>
    <col min="9" max="9" width="33.28515625" style="82" bestFit="1" customWidth="1"/>
    <col min="10" max="10" width="4.140625" style="82" customWidth="1"/>
    <col min="11" max="11" width="9" style="82" customWidth="1"/>
    <col min="12" max="13" width="33.28515625" style="82" bestFit="1" customWidth="1"/>
    <col min="14" max="14" width="18.85546875" style="82" bestFit="1" customWidth="1"/>
    <col min="15" max="15" width="33.28515625" style="82" bestFit="1" customWidth="1"/>
    <col min="16" max="16384" width="9.140625" style="82"/>
  </cols>
  <sheetData>
    <row r="1" spans="1:16">
      <c r="A1" s="81"/>
      <c r="B1" s="81" t="s">
        <v>30</v>
      </c>
      <c r="C1" s="81" t="s">
        <v>232</v>
      </c>
      <c r="D1" s="81" t="s">
        <v>302</v>
      </c>
      <c r="F1" s="94" t="s">
        <v>261</v>
      </c>
      <c r="G1" s="95"/>
      <c r="M1" s="115" t="s">
        <v>277</v>
      </c>
      <c r="N1" s="81" t="s">
        <v>58</v>
      </c>
      <c r="O1" s="81" t="s">
        <v>56</v>
      </c>
      <c r="P1" s="81" t="s">
        <v>57</v>
      </c>
    </row>
    <row r="2" spans="1:16">
      <c r="A2" s="81" t="s">
        <v>58</v>
      </c>
      <c r="B2" s="96">
        <f>1000000/(F2*100)</f>
        <v>1336.8055610095364</v>
      </c>
      <c r="C2" s="96">
        <v>1000</v>
      </c>
      <c r="D2" s="96">
        <f>1000/F5</f>
        <v>3785.4117999999999</v>
      </c>
      <c r="E2" s="83"/>
      <c r="F2" s="112">
        <v>7.4805194500000001</v>
      </c>
      <c r="G2" s="92" t="s">
        <v>258</v>
      </c>
      <c r="H2" s="82" t="s">
        <v>262</v>
      </c>
      <c r="M2" s="81" t="s">
        <v>58</v>
      </c>
      <c r="N2" s="96">
        <v>1</v>
      </c>
      <c r="O2" s="96">
        <f>F4</f>
        <v>3.7854117999999999</v>
      </c>
      <c r="P2" s="116">
        <v>3.068883289737228</v>
      </c>
    </row>
    <row r="3" spans="1:16">
      <c r="A3" s="81" t="s">
        <v>56</v>
      </c>
      <c r="B3" s="96">
        <f>1000000/F4/(F2*100)</f>
        <v>353.14666716301156</v>
      </c>
      <c r="C3" s="96">
        <f>1000/F4</f>
        <v>264.17205124155845</v>
      </c>
      <c r="D3" s="96">
        <v>1000</v>
      </c>
      <c r="F3" s="97">
        <v>43560</v>
      </c>
      <c r="G3" s="92" t="s">
        <v>263</v>
      </c>
      <c r="H3" s="84"/>
      <c r="M3" s="81" t="s">
        <v>56</v>
      </c>
      <c r="N3" s="96">
        <f>1/O2</f>
        <v>0.26417205124155846</v>
      </c>
      <c r="O3" s="96">
        <v>1</v>
      </c>
      <c r="P3" s="96">
        <v>0.8107131936708255</v>
      </c>
    </row>
    <row r="4" spans="1:16">
      <c r="A4" s="81" t="s">
        <v>57</v>
      </c>
      <c r="B4" s="96">
        <f>F3/100</f>
        <v>435.6</v>
      </c>
      <c r="C4" s="96">
        <f>F3*F2/1000</f>
        <v>325.851427242</v>
      </c>
      <c r="D4" s="96">
        <f>F3*F2*F4/1000</f>
        <v>1233.4818377287083</v>
      </c>
      <c r="F4" s="111">
        <v>3.7854117999999999</v>
      </c>
      <c r="G4" s="92" t="s">
        <v>260</v>
      </c>
      <c r="H4" s="84"/>
      <c r="M4" s="81" t="s">
        <v>57</v>
      </c>
      <c r="N4" s="116">
        <f>325851.427242/1000000</f>
        <v>0.325851427242</v>
      </c>
      <c r="O4" s="96">
        <v>1.2334818377287082</v>
      </c>
      <c r="P4" s="96">
        <v>1</v>
      </c>
    </row>
    <row r="5" spans="1:16">
      <c r="F5" s="110">
        <f>1/F4</f>
        <v>0.26417205124155846</v>
      </c>
      <c r="G5" s="93" t="s">
        <v>259</v>
      </c>
      <c r="H5" s="84"/>
    </row>
    <row r="6" spans="1:16" ht="13.5" thickBot="1">
      <c r="H6" s="84"/>
    </row>
    <row r="7" spans="1:16" ht="13.5" thickBot="1">
      <c r="A7" s="84" t="s">
        <v>299</v>
      </c>
      <c r="B7" s="85">
        <v>1</v>
      </c>
      <c r="C7" s="82" t="s">
        <v>231</v>
      </c>
      <c r="D7" s="82">
        <f>MATCH(C7,A2:A4,0)</f>
        <v>1</v>
      </c>
      <c r="H7" s="84"/>
    </row>
    <row r="8" spans="1:16" ht="13.5" thickBot="1">
      <c r="A8" s="84"/>
      <c r="E8" s="82">
        <f>INDEX($B$2:$D$4,MATCH(C7,A2:A4,0),MATCH(C9,B1:D1,0))</f>
        <v>1336.8055610095364</v>
      </c>
      <c r="H8" s="84"/>
    </row>
    <row r="9" spans="1:16" ht="13.5" thickBot="1">
      <c r="A9" s="84" t="s">
        <v>300</v>
      </c>
      <c r="B9" s="86">
        <v>10</v>
      </c>
      <c r="C9" s="82" t="s">
        <v>30</v>
      </c>
      <c r="D9" s="82">
        <f>MATCH(C9,B1:D1,0)</f>
        <v>1</v>
      </c>
      <c r="H9" s="84"/>
    </row>
    <row r="11" spans="1:16">
      <c r="B11" s="84" t="s">
        <v>301</v>
      </c>
      <c r="C11" s="87">
        <f>B7*B9*E8</f>
        <v>13368.055610095364</v>
      </c>
      <c r="I11" s="82" t="s">
        <v>276</v>
      </c>
    </row>
    <row r="12" spans="1:16">
      <c r="G12" s="82" t="s">
        <v>253</v>
      </c>
      <c r="I12" s="114" t="s">
        <v>273</v>
      </c>
      <c r="J12" s="114"/>
      <c r="K12" s="81"/>
      <c r="L12" s="114" t="s">
        <v>274</v>
      </c>
    </row>
    <row r="13" spans="1:16" ht="14.25">
      <c r="G13" s="82" t="s">
        <v>252</v>
      </c>
      <c r="H13" s="118">
        <v>547500</v>
      </c>
      <c r="I13" s="113" t="s">
        <v>275</v>
      </c>
      <c r="J13" s="117" t="s">
        <v>278</v>
      </c>
      <c r="K13" s="82">
        <f>H13*INDEX(N2:P4,MATCH(I13,M2:M4,0),MATCH(L13,N1:P1,0))</f>
        <v>2072512.9605</v>
      </c>
      <c r="L13" s="113" t="s">
        <v>56</v>
      </c>
    </row>
    <row r="14" spans="1:16">
      <c r="K14" s="83"/>
    </row>
    <row r="15" spans="1:16">
      <c r="B15" s="82" t="s">
        <v>306</v>
      </c>
      <c r="H15" s="530"/>
    </row>
    <row r="16" spans="1:16">
      <c r="B16" s="81" t="s">
        <v>30</v>
      </c>
      <c r="C16" s="81" t="s">
        <v>232</v>
      </c>
      <c r="D16" s="81" t="s">
        <v>302</v>
      </c>
      <c r="H16" s="82">
        <f>1500000000/1000000*365</f>
        <v>547500</v>
      </c>
      <c r="I16" s="530" t="s">
        <v>414</v>
      </c>
    </row>
    <row r="17" spans="1:5">
      <c r="A17" s="81" t="s">
        <v>231</v>
      </c>
      <c r="B17" s="82">
        <f>1000000/(7.48*100)</f>
        <v>1336.8983957219252</v>
      </c>
      <c r="C17" s="82">
        <v>1000</v>
      </c>
      <c r="D17" s="82">
        <f>1000000/CONVERT(1000,"l","gal")</f>
        <v>3785.4117839999994</v>
      </c>
    </row>
    <row r="18" spans="1:5">
      <c r="A18" s="81" t="s">
        <v>254</v>
      </c>
      <c r="B18" s="82">
        <f>1000000/CONVERT((7.48*100),"gal","l")</f>
        <v>353.171192992177</v>
      </c>
      <c r="C18" s="82">
        <f>1000000/CONVERT(1000,"gal","l")</f>
        <v>264.17205235814845</v>
      </c>
      <c r="D18" s="82">
        <v>1000</v>
      </c>
    </row>
    <row r="19" spans="1:5">
      <c r="A19" s="81" t="s">
        <v>137</v>
      </c>
      <c r="B19" s="82">
        <f>43560/100</f>
        <v>435.6</v>
      </c>
      <c r="C19" s="82">
        <f>43560/(1000/7.48)</f>
        <v>325.8288</v>
      </c>
      <c r="D19" s="82">
        <f>F3/(CONVERT(1000,"l","gal")/F2)</f>
        <v>1233.4818325150852</v>
      </c>
    </row>
    <row r="21" spans="1:5" ht="13.5" thickBot="1"/>
    <row r="22" spans="1:5" ht="13.5" thickBot="1">
      <c r="A22" s="84" t="s">
        <v>306</v>
      </c>
      <c r="B22" s="85">
        <v>5</v>
      </c>
      <c r="C22" s="82" t="s">
        <v>232</v>
      </c>
      <c r="D22" s="82">
        <f>MATCH(C22,B16:D16,0)</f>
        <v>2</v>
      </c>
    </row>
    <row r="23" spans="1:5" ht="13.5" thickBot="1">
      <c r="A23" s="84"/>
      <c r="E23" s="82">
        <f>INDEX($B$2:$D$4,MATCH(C24,A2:A4,0),MATCH(C22,B1:D1,0))</f>
        <v>1000</v>
      </c>
    </row>
    <row r="24" spans="1:5" ht="13.5" thickBot="1">
      <c r="A24" s="84" t="s">
        <v>307</v>
      </c>
      <c r="B24" s="86">
        <v>5000</v>
      </c>
      <c r="C24" s="82" t="s">
        <v>231</v>
      </c>
      <c r="D24" s="82">
        <f>MATCH(C24,A17:A19,0)</f>
        <v>1</v>
      </c>
    </row>
    <row r="26" spans="1:5">
      <c r="B26" s="84" t="s">
        <v>301</v>
      </c>
      <c r="C26" s="88">
        <f>(B22*E23)/B24</f>
        <v>1</v>
      </c>
    </row>
    <row r="27" spans="1:5">
      <c r="C27" s="82" t="s">
        <v>28</v>
      </c>
    </row>
    <row r="28" spans="1:5">
      <c r="C28" s="82" t="s">
        <v>29</v>
      </c>
    </row>
    <row r="31" spans="1:5">
      <c r="A31" s="83" t="s">
        <v>257</v>
      </c>
    </row>
    <row r="33" spans="1:2">
      <c r="B33" s="82" t="s">
        <v>248</v>
      </c>
    </row>
    <row r="37" spans="1:2">
      <c r="A37" s="83" t="s">
        <v>272</v>
      </c>
    </row>
    <row r="38" spans="1:2">
      <c r="A38" s="99" t="s">
        <v>239</v>
      </c>
    </row>
    <row r="39" spans="1:2">
      <c r="A39" s="82" t="s">
        <v>243</v>
      </c>
    </row>
    <row r="40" spans="1:2">
      <c r="A40" s="82" t="s">
        <v>264</v>
      </c>
    </row>
    <row r="42" spans="1:2">
      <c r="A42" s="102" t="s">
        <v>265</v>
      </c>
    </row>
    <row r="43" spans="1:2">
      <c r="A43" s="102" t="s">
        <v>266</v>
      </c>
    </row>
    <row r="44" spans="1:2">
      <c r="A44" s="102" t="s">
        <v>242</v>
      </c>
    </row>
    <row r="45" spans="1:2">
      <c r="A45" s="102" t="s">
        <v>237</v>
      </c>
    </row>
    <row r="47" spans="1:2">
      <c r="A47" s="100" t="s">
        <v>238</v>
      </c>
    </row>
    <row r="48" spans="1:2">
      <c r="A48" s="100" t="s">
        <v>240</v>
      </c>
    </row>
    <row r="49" spans="1:1">
      <c r="A49" s="100" t="s">
        <v>241</v>
      </c>
    </row>
    <row r="50" spans="1:1">
      <c r="A50" s="100" t="s">
        <v>237</v>
      </c>
    </row>
    <row r="52" spans="1:1">
      <c r="A52" s="101" t="s">
        <v>244</v>
      </c>
    </row>
    <row r="53" spans="1:1">
      <c r="A53" s="101" t="s">
        <v>240</v>
      </c>
    </row>
    <row r="54" spans="1:1">
      <c r="A54" s="101" t="s">
        <v>241</v>
      </c>
    </row>
    <row r="55" spans="1:1">
      <c r="A55" s="101" t="s">
        <v>237</v>
      </c>
    </row>
    <row r="75" spans="1:6">
      <c r="A75" s="82" t="s">
        <v>770</v>
      </c>
    </row>
    <row r="76" spans="1:6">
      <c r="A76" s="777" t="str">
        <f>IF('Performance Indicators'!R21=FALSE,"Var. Prod. Cost","Cust.Ret.Unit Cost")</f>
        <v>Var. Prod. Cost</v>
      </c>
    </row>
    <row r="77" spans="1:6">
      <c r="A77" s="83" t="s">
        <v>771</v>
      </c>
    </row>
    <row r="78" spans="1:6">
      <c r="A78" s="530" t="s">
        <v>408</v>
      </c>
    </row>
    <row r="79" spans="1:6" ht="16.5">
      <c r="B79" s="238"/>
      <c r="C79" s="238"/>
      <c r="D79" s="238"/>
      <c r="E79" s="238" t="str">
        <f>IF(Dashboard!S6=1,"Total Volume of NRW = ","Total Cost of NRW =$")&amp;IF(Dashboard!S6=1,TEXT(SUM(C90,C91,C94,C95,C96,C98),"#,###")&amp;" "&amp;'Reporting Worksheet'!I15,TEXT(SUM(D90,D91,D94,D95,D96,D98),"#,###"))</f>
        <v>Total Cost of NRW =$56,811</v>
      </c>
      <c r="F79" s="238"/>
    </row>
    <row r="80" spans="1:6">
      <c r="A80" s="237"/>
      <c r="B80" s="237"/>
      <c r="C80" s="239" t="str">
        <f>"Volume ("&amp;'Reporting Worksheet'!I15&amp;")"</f>
        <v>Volume (MG/Yr)</v>
      </c>
      <c r="D80" s="239" t="s">
        <v>403</v>
      </c>
      <c r="E80" s="521" t="str">
        <f ca="1">OFFSET(B80,0,Dashboard!$S$6)</f>
        <v xml:space="preserve">          Cost $</v>
      </c>
      <c r="F80" s="237"/>
    </row>
    <row r="81" spans="1:6">
      <c r="A81" s="240" t="s">
        <v>341</v>
      </c>
      <c r="B81" s="240"/>
      <c r="C81" s="723">
        <f>'Reporting Worksheet'!G15</f>
        <v>758.5</v>
      </c>
      <c r="D81" s="724">
        <f>C81*('Reporting Worksheet'!$G$78)</f>
        <v>194297.36000000002</v>
      </c>
      <c r="E81" s="723">
        <f ca="1">OFFSET(B81,0,Dashboard!$S$6)</f>
        <v>194297.36000000002</v>
      </c>
      <c r="F81" s="237"/>
    </row>
    <row r="82" spans="1:6">
      <c r="A82" s="240" t="str">
        <f>A81&amp;" MA"</f>
        <v>Vol. from own sources: MA</v>
      </c>
      <c r="B82" s="240"/>
      <c r="C82" s="723">
        <f>'Reporting Worksheet'!S15</f>
        <v>0</v>
      </c>
      <c r="D82" s="724">
        <f>C82*('Reporting Worksheet'!$G$78)</f>
        <v>0</v>
      </c>
      <c r="E82" s="723">
        <f ca="1">OFFSET(B82,0,Dashboard!$S$6)</f>
        <v>0</v>
      </c>
      <c r="F82" s="237"/>
    </row>
    <row r="83" spans="1:6">
      <c r="A83" s="237" t="s">
        <v>6</v>
      </c>
      <c r="B83" s="237"/>
      <c r="C83" s="723">
        <f>'Reporting Worksheet'!G16</f>
        <v>121.619</v>
      </c>
      <c r="D83" s="724">
        <f>C83*('Reporting Worksheet'!$G$78)</f>
        <v>31153.923040000001</v>
      </c>
      <c r="E83" s="723">
        <f ca="1">OFFSET(B83,0,Dashboard!$S$6)</f>
        <v>31153.923040000001</v>
      </c>
      <c r="F83" s="237"/>
    </row>
    <row r="84" spans="1:6">
      <c r="A84" s="237" t="str">
        <f>A83&amp;" MA"</f>
        <v>Water imported: MA</v>
      </c>
      <c r="B84" s="237"/>
      <c r="C84" s="723">
        <f>'Reporting Worksheet'!S16</f>
        <v>0</v>
      </c>
      <c r="D84" s="724">
        <f>C84*('Reporting Worksheet'!$G$78)</f>
        <v>0</v>
      </c>
      <c r="E84" s="723">
        <f ca="1">OFFSET(B84,0,Dashboard!$S$6)</f>
        <v>0</v>
      </c>
      <c r="F84" s="237"/>
    </row>
    <row r="85" spans="1:6">
      <c r="A85" s="237" t="s">
        <v>7</v>
      </c>
      <c r="B85" s="237"/>
      <c r="C85" s="723">
        <f>'Reporting Worksheet'!G17</f>
        <v>79.239000000000004</v>
      </c>
      <c r="D85" s="724">
        <f>C85*('Reporting Worksheet'!$G$78)</f>
        <v>20297.862240000002</v>
      </c>
      <c r="E85" s="723">
        <f ca="1">OFFSET(B85,0,Dashboard!$S$6)</f>
        <v>20297.862240000002</v>
      </c>
      <c r="F85" s="237"/>
    </row>
    <row r="86" spans="1:6">
      <c r="A86" s="237" t="str">
        <f>A85&amp;" MA"</f>
        <v>Water exported: MA</v>
      </c>
      <c r="B86" s="237"/>
      <c r="C86" s="723">
        <f>'Reporting Worksheet'!S17</f>
        <v>0</v>
      </c>
      <c r="D86" s="724">
        <f>C86*('Reporting Worksheet'!$G$78)</f>
        <v>0</v>
      </c>
      <c r="E86" s="723">
        <f ca="1">OFFSET(B86,0,Dashboard!$S$6)</f>
        <v>0</v>
      </c>
      <c r="F86" s="237"/>
    </row>
    <row r="87" spans="1:6">
      <c r="A87" s="237" t="s">
        <v>294</v>
      </c>
      <c r="B87" s="237"/>
      <c r="C87" s="723">
        <f>'Reporting Worksheet'!G19</f>
        <v>800.88</v>
      </c>
      <c r="D87" s="724">
        <f>C87*('Reporting Worksheet'!$G$78)</f>
        <v>205153.42080000002</v>
      </c>
      <c r="E87" s="723">
        <f ca="1">OFFSET(B87,0,Dashboard!$S$6)</f>
        <v>205153.42080000002</v>
      </c>
      <c r="F87" s="237"/>
    </row>
    <row r="88" spans="1:6">
      <c r="A88" s="237" t="s">
        <v>153</v>
      </c>
      <c r="B88" s="237"/>
      <c r="C88" s="723">
        <f>'Reporting Worksheet'!G23</f>
        <v>747.88099999999997</v>
      </c>
      <c r="D88" s="724">
        <f>C88*('Reporting Worksheet'!$G$77*1000)</f>
        <v>3021439.2399999998</v>
      </c>
      <c r="E88" s="723">
        <f ca="1">OFFSET(B88,0,Dashboard!$S$6)</f>
        <v>3021439.2399999998</v>
      </c>
      <c r="F88" s="237"/>
    </row>
    <row r="89" spans="1:6">
      <c r="A89" s="237" t="s">
        <v>154</v>
      </c>
      <c r="B89" s="237"/>
      <c r="C89" s="723">
        <f>'Reporting Worksheet'!G24</f>
        <v>0</v>
      </c>
      <c r="D89" s="724">
        <f>C89*('Reporting Worksheet'!$G$77*1000)</f>
        <v>0</v>
      </c>
      <c r="E89" s="723">
        <f ca="1">OFFSET(B89,0,Dashboard!$S$6)</f>
        <v>0</v>
      </c>
      <c r="F89" s="237"/>
    </row>
    <row r="90" spans="1:6">
      <c r="A90" s="520" t="str">
        <f>"Unbilled metered (valued at "&amp;A76&amp;")"</f>
        <v>Unbilled metered (valued at Var. Prod. Cost)</v>
      </c>
      <c r="B90" s="237"/>
      <c r="C90" s="723">
        <f>'Reporting Worksheet'!G25</f>
        <v>0</v>
      </c>
      <c r="D90" s="724">
        <f>IF(ISBLANK(Instructions!D34),"",IF(ISBLANK('Reporting Worksheet'!G78),"",'Reporting Worksheet'!G25*(IF('Performance Indicators'!R21=FALSE,'Reporting Worksheet'!G78,IF('Performance Indicators'!R21=TRUE,'Reporting Worksheet'!G77*INDEX(Sheet1!B2:D4,MATCH(Instructions!D34,Sheet1!A2:A4,0),MATCH('Reporting Worksheet'!I77,Sheet1!B1:D1,0)),"")))))</f>
        <v>0</v>
      </c>
      <c r="E90" s="723">
        <f ca="1">OFFSET(B90,0,Dashboard!$S$6)</f>
        <v>0</v>
      </c>
      <c r="F90" s="237"/>
    </row>
    <row r="91" spans="1:6">
      <c r="A91" s="520" t="str">
        <f>"Unbilled unmetered (valued at "&amp;A76&amp;")"</f>
        <v>Unbilled unmetered (valued at Var. Prod. Cost)</v>
      </c>
      <c r="B91" s="237"/>
      <c r="C91" s="723">
        <f>'Reporting Worksheet'!G26</f>
        <v>9.5722000000000005</v>
      </c>
      <c r="D91" s="724">
        <f>IF(ISBLANK(Instructions!D34),"",IF(ISBLANK('Reporting Worksheet'!G78),"",'Reporting Worksheet'!G26*(IF('Performance Indicators'!R21=FALSE,'Reporting Worksheet'!G78,IF('Performance Indicators'!R21=TRUE,'Reporting Worksheet'!G77*INDEX(Sheet1!B2:D4,MATCH(Instructions!D34,Sheet1!A2:A4,0),MATCH('Reporting Worksheet'!I77,Sheet1!B1:D1,0)),"")))))</f>
        <v>2452.0147520000005</v>
      </c>
      <c r="E91" s="723">
        <f ca="1">OFFSET(B91,0,Dashboard!$S$6)</f>
        <v>2452.0147520000005</v>
      </c>
      <c r="F91" s="237"/>
    </row>
    <row r="92" spans="1:6">
      <c r="A92" s="240" t="s">
        <v>342</v>
      </c>
      <c r="B92" s="780" t="s">
        <v>772</v>
      </c>
      <c r="C92" s="723">
        <f>'Reporting Worksheet'!G30</f>
        <v>757.45319999999992</v>
      </c>
      <c r="D92" s="724">
        <f>C92*('Reporting Worksheet'!$G$77*1000)</f>
        <v>3060110.9279999998</v>
      </c>
      <c r="E92" s="723">
        <f ca="1">OFFSET(B92,0,Dashboard!$S$6)</f>
        <v>3060110.9279999998</v>
      </c>
      <c r="F92" s="237"/>
    </row>
    <row r="93" spans="1:6">
      <c r="A93" s="237" t="s">
        <v>139</v>
      </c>
      <c r="B93" s="237"/>
      <c r="C93" s="723">
        <f>'Reporting Worksheet'!G35</f>
        <v>43.426800000000071</v>
      </c>
      <c r="D93" s="724">
        <f>C93*('Reporting Worksheet'!$G$77*1000)</f>
        <v>175444.27200000029</v>
      </c>
      <c r="E93" s="723">
        <f ca="1">OFFSET(B93,0,Dashboard!$S$6)</f>
        <v>175444.27200000029</v>
      </c>
      <c r="F93" s="237"/>
    </row>
    <row r="94" spans="1:6">
      <c r="A94" s="520" t="s">
        <v>402</v>
      </c>
      <c r="B94" s="240"/>
      <c r="C94" s="723">
        <f>'Reporting Worksheet'!G38</f>
        <v>2.0022000000000002</v>
      </c>
      <c r="D94" s="724">
        <f>C94*('Reporting Worksheet'!$G$77*1000)</f>
        <v>8088.8880000000008</v>
      </c>
      <c r="E94" s="723">
        <f ca="1">OFFSET(B94,0,Dashboard!$S$6)</f>
        <v>8088.8880000000008</v>
      </c>
      <c r="F94" s="237"/>
    </row>
    <row r="95" spans="1:6">
      <c r="A95" s="520" t="s">
        <v>401</v>
      </c>
      <c r="B95" s="240"/>
      <c r="C95" s="723">
        <f>'Reporting Worksheet'!G42</f>
        <v>7.5543535353535844</v>
      </c>
      <c r="D95" s="724">
        <f>C95*('Reporting Worksheet'!$G$77*1000)</f>
        <v>30519.588282828481</v>
      </c>
      <c r="E95" s="723">
        <f ca="1">OFFSET(B95,0,Dashboard!$S$6)</f>
        <v>30519.588282828481</v>
      </c>
      <c r="F95" s="237"/>
    </row>
    <row r="96" spans="1:6">
      <c r="A96" s="520" t="s">
        <v>400</v>
      </c>
      <c r="B96" s="240"/>
      <c r="C96" s="723">
        <f>'Reporting Worksheet'!G43</f>
        <v>1.8697025</v>
      </c>
      <c r="D96" s="724">
        <f>C96*('Reporting Worksheet'!$G$77*1000)</f>
        <v>7553.5981000000002</v>
      </c>
      <c r="E96" s="723">
        <f ca="1">OFFSET(B96,0,Dashboard!$S$6)</f>
        <v>7553.5981000000002</v>
      </c>
      <c r="F96" s="237"/>
    </row>
    <row r="97" spans="1:6">
      <c r="A97" s="237" t="s">
        <v>116</v>
      </c>
      <c r="B97" s="237"/>
      <c r="C97" s="723">
        <f>'Reporting Worksheet'!G47</f>
        <v>11.426256035353585</v>
      </c>
      <c r="D97" s="724">
        <f>C97*('Reporting Worksheet'!$G$77*1000)</f>
        <v>46162.074382828483</v>
      </c>
      <c r="E97" s="723">
        <f ca="1">OFFSET(B97,0,Dashboard!$S$6)</f>
        <v>46162.074382828483</v>
      </c>
      <c r="F97" s="237"/>
    </row>
    <row r="98" spans="1:6">
      <c r="A98" s="520" t="str">
        <f>"Real Losses (valued at "&amp;A76&amp;")"</f>
        <v>Real Losses (valued at Var. Prod. Cost)</v>
      </c>
      <c r="B98" s="240"/>
      <c r="C98" s="723">
        <f>'Reporting Worksheet'!G52</f>
        <v>32.000543964646482</v>
      </c>
      <c r="D98" s="724">
        <f>'Performance Indicators'!I21</f>
        <v>8197.2593419838431</v>
      </c>
      <c r="E98" s="723">
        <f ca="1">OFFSET(B98,0,Dashboard!$S$6)</f>
        <v>8197.2593419838431</v>
      </c>
      <c r="F98" s="237"/>
    </row>
    <row r="99" spans="1:6">
      <c r="A99" s="237" t="s">
        <v>233</v>
      </c>
      <c r="B99" s="237"/>
      <c r="C99" s="723">
        <f>'Reporting Worksheet'!G58</f>
        <v>52.999000000000073</v>
      </c>
      <c r="D99" s="725">
        <f>D97+D98+D90+D91</f>
        <v>56811.348476812331</v>
      </c>
      <c r="E99" s="723">
        <f ca="1">OFFSET(B99,0,Dashboard!$S$6)</f>
        <v>56811.348476812331</v>
      </c>
      <c r="F99" s="237"/>
    </row>
  </sheetData>
  <sheetProtection password="8B16" sheet="1" objects="1" scenarios="1"/>
  <phoneticPr fontId="0" type="noConversion"/>
  <dataValidations disablePrompts="1" count="3">
    <dataValidation type="list" allowBlank="1" showInputMessage="1" showErrorMessage="1" sqref="L13 I13">
      <formula1>"Million Gallons (US),Megalitres (thousand cubic metres),Acre-feet"</formula1>
    </dataValidation>
    <dataValidation type="list" allowBlank="1" showInputMessage="1" showErrorMessage="1" sqref="C9 C22">
      <formula1>"$/1000 gallons (US),$/1000 litres,$/100 cubic feet (ccf)"</formula1>
    </dataValidation>
    <dataValidation type="list" allowBlank="1" showInputMessage="1" showErrorMessage="1" sqref="C7 C24">
      <formula1>"million gallons (US),thousand cubic meters,acre-feet"</formula1>
    </dataValidation>
  </dataValidations>
  <pageMargins left="0.75" right="0.75" top="1" bottom="1" header="0.5" footer="0.5"/>
  <pageSetup orientation="portrait" horizontalDpi="4294967293"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election activeCell="B2" sqref="B2:O2"/>
    </sheetView>
  </sheetViews>
  <sheetFormatPr defaultRowHeight="12.75"/>
  <sheetData/>
  <sheetProtection password="8B16" sheet="1" objects="1" scenarios="1"/>
  <phoneticPr fontId="4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election activeCell="B2" sqref="B2:O2"/>
    </sheetView>
  </sheetViews>
  <sheetFormatPr defaultRowHeight="12.75"/>
  <sheetData/>
  <sheetProtection password="8B16" sheet="1" objects="1" scenarios="1"/>
  <phoneticPr fontId="4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IU79"/>
  <sheetViews>
    <sheetView showRowColHeaders="0" zoomScaleNormal="100" workbookViewId="0">
      <pane ySplit="3" topLeftCell="A4" activePane="bottomLeft" state="frozen"/>
      <selection activeCell="J22" sqref="J22"/>
      <selection pane="bottomLeft" activeCell="D29" sqref="D29"/>
    </sheetView>
  </sheetViews>
  <sheetFormatPr defaultColWidth="0" defaultRowHeight="12.75" zeroHeight="1"/>
  <cols>
    <col min="1" max="1" width="1.7109375" style="386" customWidth="1"/>
    <col min="2" max="2" width="1.5703125" style="386" customWidth="1"/>
    <col min="3" max="3" width="20.7109375" style="386" customWidth="1"/>
    <col min="4" max="4" width="10.5703125" style="386" customWidth="1"/>
    <col min="5" max="5" width="13.7109375" style="386" customWidth="1"/>
    <col min="6" max="6" width="11.7109375" style="386" customWidth="1"/>
    <col min="7" max="7" width="20" style="386" customWidth="1"/>
    <col min="8" max="8" width="1" style="386" customWidth="1"/>
    <col min="9" max="9" width="3.7109375" style="386" customWidth="1"/>
    <col min="10" max="10" width="14.28515625" style="386" customWidth="1"/>
    <col min="11" max="11" width="2" style="386" customWidth="1"/>
    <col min="12" max="12" width="10.85546875" style="386" customWidth="1"/>
    <col min="13" max="13" width="8.7109375" style="386" customWidth="1"/>
    <col min="14" max="14" width="9" style="386" customWidth="1"/>
    <col min="15" max="15" width="12.5703125" style="386" customWidth="1"/>
    <col min="16" max="16" width="1.5703125" style="386" customWidth="1"/>
    <col min="17" max="17" width="1.7109375" style="386" customWidth="1"/>
    <col min="18" max="18" width="1.42578125" style="386" customWidth="1"/>
    <col min="19" max="19" width="9.140625" style="386" hidden="1" customWidth="1"/>
    <col min="20" max="20" width="10" style="386" hidden="1" customWidth="1"/>
    <col min="21" max="255" width="8.85546875" style="386" hidden="1" customWidth="1"/>
    <col min="256" max="16384" width="3.28515625" style="386" hidden="1"/>
  </cols>
  <sheetData>
    <row r="1" spans="1:21" s="173" customFormat="1" ht="8.25" customHeight="1" thickBot="1">
      <c r="A1" s="428">
        <v>4.2</v>
      </c>
      <c r="B1" s="427"/>
      <c r="C1" s="427"/>
      <c r="D1" s="427"/>
      <c r="E1" s="427"/>
      <c r="F1" s="427"/>
      <c r="G1" s="427"/>
      <c r="H1" s="427"/>
      <c r="I1" s="427"/>
      <c r="J1" s="427"/>
      <c r="K1" s="427"/>
      <c r="L1" s="427"/>
      <c r="M1" s="427"/>
      <c r="N1" s="427"/>
      <c r="O1" s="427"/>
      <c r="P1" s="427"/>
      <c r="Q1" s="427"/>
      <c r="R1" s="427"/>
    </row>
    <row r="2" spans="1:21" s="385" customFormat="1" ht="42.6" customHeight="1" thickTop="1">
      <c r="A2" s="429"/>
      <c r="B2" s="808" t="s">
        <v>802</v>
      </c>
      <c r="C2" s="809"/>
      <c r="D2" s="809"/>
      <c r="E2" s="809"/>
      <c r="F2" s="809"/>
      <c r="G2" s="809"/>
      <c r="H2" s="809"/>
      <c r="I2" s="809"/>
      <c r="J2" s="809"/>
      <c r="K2" s="809"/>
      <c r="L2" s="809"/>
      <c r="M2" s="809"/>
      <c r="N2" s="809"/>
      <c r="O2" s="809"/>
      <c r="P2" s="809"/>
      <c r="Q2" s="810"/>
      <c r="R2" s="429"/>
    </row>
    <row r="3" spans="1:21" s="173" customFormat="1" ht="5.25" customHeight="1">
      <c r="A3" s="427"/>
      <c r="B3" s="688"/>
      <c r="C3" s="412"/>
      <c r="D3" s="412"/>
      <c r="E3" s="412"/>
      <c r="F3" s="412"/>
      <c r="G3" s="412"/>
      <c r="H3" s="412"/>
      <c r="I3" s="412"/>
      <c r="J3" s="412"/>
      <c r="K3" s="412"/>
      <c r="L3" s="412"/>
      <c r="M3" s="412"/>
      <c r="N3" s="412"/>
      <c r="O3" s="412"/>
      <c r="P3" s="412"/>
      <c r="Q3" s="689"/>
      <c r="R3" s="427"/>
      <c r="U3" s="173" t="s">
        <v>512</v>
      </c>
    </row>
    <row r="4" spans="1:21" s="173" customFormat="1" ht="13.15" customHeight="1">
      <c r="A4" s="427"/>
      <c r="B4" s="690"/>
      <c r="C4" s="797" t="s">
        <v>384</v>
      </c>
      <c r="D4" s="797"/>
      <c r="E4" s="797"/>
      <c r="F4" s="797"/>
      <c r="G4" s="797"/>
      <c r="H4" s="797"/>
      <c r="I4" s="797"/>
      <c r="J4" s="797"/>
      <c r="K4" s="797"/>
      <c r="L4" s="797"/>
      <c r="M4" s="797"/>
      <c r="N4" s="797"/>
      <c r="O4" s="797"/>
      <c r="P4" s="435"/>
      <c r="Q4" s="691"/>
      <c r="R4" s="427"/>
      <c r="U4" s="173" t="s">
        <v>447</v>
      </c>
    </row>
    <row r="5" spans="1:21" s="173" customFormat="1">
      <c r="A5" s="427"/>
      <c r="B5" s="690"/>
      <c r="C5" s="797"/>
      <c r="D5" s="797"/>
      <c r="E5" s="797"/>
      <c r="F5" s="797"/>
      <c r="G5" s="797"/>
      <c r="H5" s="797"/>
      <c r="I5" s="797"/>
      <c r="J5" s="797"/>
      <c r="K5" s="797"/>
      <c r="L5" s="797"/>
      <c r="M5" s="797"/>
      <c r="N5" s="797"/>
      <c r="O5" s="797"/>
      <c r="P5" s="435"/>
      <c r="Q5" s="691"/>
      <c r="R5" s="427"/>
      <c r="U5" s="173" t="s">
        <v>448</v>
      </c>
    </row>
    <row r="6" spans="1:21" s="173" customFormat="1" ht="36.6" customHeight="1">
      <c r="A6" s="427"/>
      <c r="B6" s="690"/>
      <c r="C6" s="812" t="s">
        <v>709</v>
      </c>
      <c r="D6" s="812"/>
      <c r="E6" s="812"/>
      <c r="F6" s="812"/>
      <c r="G6" s="812"/>
      <c r="H6" s="812"/>
      <c r="I6" s="812"/>
      <c r="J6" s="812"/>
      <c r="K6" s="812"/>
      <c r="L6" s="812"/>
      <c r="M6" s="812"/>
      <c r="N6" s="812"/>
      <c r="O6" s="812"/>
      <c r="P6" s="434"/>
      <c r="Q6" s="692"/>
      <c r="R6" s="427"/>
      <c r="U6" s="173" t="s">
        <v>449</v>
      </c>
    </row>
    <row r="7" spans="1:21" s="173" customFormat="1" ht="16.149999999999999" customHeight="1">
      <c r="A7" s="427"/>
      <c r="B7" s="693"/>
      <c r="C7" s="797" t="s">
        <v>392</v>
      </c>
      <c r="D7" s="797"/>
      <c r="E7" s="797"/>
      <c r="F7" s="797"/>
      <c r="G7" s="797"/>
      <c r="H7" s="797"/>
      <c r="I7" s="797"/>
      <c r="J7" s="797"/>
      <c r="K7" s="797"/>
      <c r="L7" s="797"/>
      <c r="M7" s="797"/>
      <c r="N7" s="797"/>
      <c r="O7" s="797"/>
      <c r="P7" s="434"/>
      <c r="Q7" s="692"/>
      <c r="R7" s="427"/>
      <c r="U7" s="173" t="s">
        <v>450</v>
      </c>
    </row>
    <row r="8" spans="1:21" s="173" customFormat="1" ht="14.45" customHeight="1">
      <c r="A8" s="427"/>
      <c r="B8" s="688"/>
      <c r="C8" s="412"/>
      <c r="D8" s="412"/>
      <c r="E8" s="412"/>
      <c r="F8" s="412"/>
      <c r="G8" s="412"/>
      <c r="H8" s="412"/>
      <c r="I8" s="412"/>
      <c r="J8" s="412"/>
      <c r="K8" s="412"/>
      <c r="L8" s="412"/>
      <c r="M8" s="412"/>
      <c r="N8" s="412"/>
      <c r="O8" s="412"/>
      <c r="P8" s="412"/>
      <c r="Q8" s="689"/>
      <c r="R8" s="427"/>
      <c r="U8" s="173" t="s">
        <v>451</v>
      </c>
    </row>
    <row r="9" spans="1:21" s="173" customFormat="1" ht="5.25" customHeight="1">
      <c r="A9" s="427"/>
      <c r="B9" s="688"/>
      <c r="C9" s="412"/>
      <c r="D9" s="412"/>
      <c r="E9" s="412"/>
      <c r="F9" s="412"/>
      <c r="G9" s="412"/>
      <c r="H9" s="412"/>
      <c r="I9" s="412"/>
      <c r="J9" s="412"/>
      <c r="K9" s="412"/>
      <c r="L9" s="412"/>
      <c r="M9" s="412"/>
      <c r="N9" s="412"/>
      <c r="O9" s="412"/>
      <c r="P9" s="412"/>
      <c r="Q9" s="689"/>
      <c r="R9" s="427"/>
      <c r="U9" s="173" t="s">
        <v>452</v>
      </c>
    </row>
    <row r="10" spans="1:21" s="173" customFormat="1" ht="14.25" customHeight="1">
      <c r="A10" s="427"/>
      <c r="B10" s="688"/>
      <c r="C10" s="804" t="s">
        <v>383</v>
      </c>
      <c r="D10" s="804"/>
      <c r="E10" s="804"/>
      <c r="F10" s="804"/>
      <c r="G10" s="804"/>
      <c r="H10" s="412"/>
      <c r="I10" s="412"/>
      <c r="J10" s="804" t="s">
        <v>411</v>
      </c>
      <c r="K10" s="804"/>
      <c r="L10" s="804"/>
      <c r="M10" s="804"/>
      <c r="N10" s="804"/>
      <c r="O10" s="804"/>
      <c r="P10" s="412"/>
      <c r="Q10" s="689"/>
      <c r="R10" s="427"/>
      <c r="U10" s="173" t="s">
        <v>453</v>
      </c>
    </row>
    <row r="11" spans="1:21" s="173" customFormat="1" ht="8.25" customHeight="1">
      <c r="A11" s="427"/>
      <c r="B11" s="688"/>
      <c r="C11" s="412"/>
      <c r="D11" s="412"/>
      <c r="E11" s="412"/>
      <c r="F11" s="412"/>
      <c r="G11" s="412"/>
      <c r="H11" s="412"/>
      <c r="I11" s="412"/>
      <c r="J11" s="412"/>
      <c r="K11" s="412"/>
      <c r="L11" s="412"/>
      <c r="M11" s="412"/>
      <c r="N11" s="412"/>
      <c r="O11" s="412"/>
      <c r="P11" s="412"/>
      <c r="Q11" s="689"/>
      <c r="R11" s="427"/>
      <c r="U11" s="173" t="s">
        <v>454</v>
      </c>
    </row>
    <row r="12" spans="1:21" s="173" customFormat="1" ht="15.6" customHeight="1">
      <c r="A12" s="427"/>
      <c r="B12" s="688"/>
      <c r="C12" s="416" t="s">
        <v>377</v>
      </c>
      <c r="D12" s="798" t="s">
        <v>813</v>
      </c>
      <c r="E12" s="799"/>
      <c r="F12" s="799"/>
      <c r="G12" s="800"/>
      <c r="H12" s="412"/>
      <c r="I12" s="412"/>
      <c r="J12" s="776" t="s">
        <v>386</v>
      </c>
      <c r="K12" s="412"/>
      <c r="L12" s="412"/>
      <c r="M12" s="438" t="s">
        <v>387</v>
      </c>
      <c r="N12" s="412"/>
      <c r="O12" s="412"/>
      <c r="P12" s="412"/>
      <c r="Q12" s="689"/>
      <c r="R12" s="427"/>
      <c r="U12" s="173" t="s">
        <v>455</v>
      </c>
    </row>
    <row r="13" spans="1:21" s="173" customFormat="1" ht="3" customHeight="1">
      <c r="A13" s="427"/>
      <c r="B13" s="688"/>
      <c r="C13" s="412"/>
      <c r="D13" s="420"/>
      <c r="E13" s="420"/>
      <c r="F13" s="420"/>
      <c r="G13" s="420"/>
      <c r="H13" s="412"/>
      <c r="I13" s="412"/>
      <c r="J13" s="412"/>
      <c r="K13" s="393"/>
      <c r="L13" s="412"/>
      <c r="M13" s="412"/>
      <c r="N13" s="412"/>
      <c r="O13" s="412"/>
      <c r="P13" s="412"/>
      <c r="Q13" s="689"/>
      <c r="R13" s="427"/>
      <c r="U13" s="173" t="s">
        <v>456</v>
      </c>
    </row>
    <row r="14" spans="1:21" s="173" customFormat="1" ht="15.6" customHeight="1">
      <c r="A14" s="427"/>
      <c r="B14" s="688"/>
      <c r="C14" s="416" t="s">
        <v>380</v>
      </c>
      <c r="D14" s="798" t="s">
        <v>814</v>
      </c>
      <c r="E14" s="799"/>
      <c r="F14" s="799"/>
      <c r="G14" s="800"/>
      <c r="H14" s="412"/>
      <c r="I14" s="412"/>
      <c r="J14" s="432"/>
      <c r="K14" s="393"/>
      <c r="L14" s="412" t="s">
        <v>200</v>
      </c>
      <c r="M14" s="412"/>
      <c r="N14" s="412"/>
      <c r="O14" s="412"/>
      <c r="P14" s="412"/>
      <c r="Q14" s="689"/>
      <c r="R14" s="427"/>
      <c r="U14" s="173" t="s">
        <v>457</v>
      </c>
    </row>
    <row r="15" spans="1:21" s="173" customFormat="1" ht="3" customHeight="1">
      <c r="A15" s="427"/>
      <c r="B15" s="688"/>
      <c r="C15" s="412"/>
      <c r="D15" s="420"/>
      <c r="E15" s="420"/>
      <c r="F15" s="420"/>
      <c r="G15" s="420"/>
      <c r="H15" s="412"/>
      <c r="I15" s="412"/>
      <c r="J15" s="425"/>
      <c r="K15" s="393"/>
      <c r="L15" s="412"/>
      <c r="M15" s="415"/>
      <c r="N15" s="417"/>
      <c r="O15" s="412"/>
      <c r="P15" s="412"/>
      <c r="Q15" s="689"/>
      <c r="R15" s="427"/>
      <c r="U15" s="173" t="s">
        <v>458</v>
      </c>
    </row>
    <row r="16" spans="1:21" s="173" customFormat="1" ht="15.6" customHeight="1">
      <c r="A16" s="427"/>
      <c r="B16" s="688"/>
      <c r="C16" s="416" t="s">
        <v>381</v>
      </c>
      <c r="D16" s="767" t="s">
        <v>815</v>
      </c>
      <c r="E16" s="768">
        <v>24</v>
      </c>
      <c r="F16" s="412"/>
      <c r="G16" s="412"/>
      <c r="H16" s="412"/>
      <c r="I16" s="412"/>
      <c r="J16" s="430"/>
      <c r="K16" s="393"/>
      <c r="L16" s="412" t="s">
        <v>192</v>
      </c>
      <c r="M16" s="415"/>
      <c r="N16" s="417"/>
      <c r="O16" s="412"/>
      <c r="P16" s="412"/>
      <c r="Q16" s="689"/>
      <c r="R16" s="427"/>
      <c r="U16" s="173" t="s">
        <v>459</v>
      </c>
    </row>
    <row r="17" spans="1:21" s="173" customFormat="1" ht="3" customHeight="1">
      <c r="A17" s="427"/>
      <c r="B17" s="688"/>
      <c r="C17" s="412"/>
      <c r="D17" s="420"/>
      <c r="E17" s="420"/>
      <c r="F17" s="420"/>
      <c r="G17" s="420"/>
      <c r="H17" s="412"/>
      <c r="I17" s="412"/>
      <c r="J17" s="412"/>
      <c r="K17" s="393"/>
      <c r="L17" s="412"/>
      <c r="M17" s="415"/>
      <c r="N17" s="417"/>
      <c r="O17" s="412"/>
      <c r="P17" s="412"/>
      <c r="Q17" s="689"/>
      <c r="R17" s="427"/>
      <c r="U17" s="173" t="s">
        <v>460</v>
      </c>
    </row>
    <row r="18" spans="1:21" s="173" customFormat="1" ht="15.75" customHeight="1">
      <c r="A18" s="427"/>
      <c r="B18" s="688"/>
      <c r="C18" s="416" t="s">
        <v>378</v>
      </c>
      <c r="D18" s="798" t="s">
        <v>816</v>
      </c>
      <c r="E18" s="799"/>
      <c r="F18" s="799"/>
      <c r="G18" s="800"/>
      <c r="H18" s="412"/>
      <c r="I18" s="412"/>
      <c r="J18" s="431"/>
      <c r="K18" s="393"/>
      <c r="L18" s="412" t="s">
        <v>255</v>
      </c>
      <c r="M18" s="415"/>
      <c r="N18" s="417"/>
      <c r="O18" s="412"/>
      <c r="P18" s="412"/>
      <c r="Q18" s="689"/>
      <c r="R18" s="427"/>
      <c r="U18" s="173" t="s">
        <v>461</v>
      </c>
    </row>
    <row r="19" spans="1:21" s="173" customFormat="1" ht="3" customHeight="1">
      <c r="A19" s="427"/>
      <c r="B19" s="688"/>
      <c r="C19" s="416"/>
      <c r="D19" s="420"/>
      <c r="E19" s="420"/>
      <c r="F19" s="420"/>
      <c r="G19" s="420"/>
      <c r="H19" s="412"/>
      <c r="I19" s="393"/>
      <c r="J19" s="393"/>
      <c r="K19" s="393"/>
      <c r="L19" s="393"/>
      <c r="M19" s="393"/>
      <c r="N19" s="393"/>
      <c r="O19" s="393"/>
      <c r="P19" s="412"/>
      <c r="Q19" s="689"/>
      <c r="R19" s="427"/>
      <c r="U19" s="173" t="s">
        <v>462</v>
      </c>
    </row>
    <row r="20" spans="1:21" s="173" customFormat="1" ht="15.6" customHeight="1">
      <c r="A20" s="427"/>
      <c r="B20" s="688"/>
      <c r="C20" s="416" t="s">
        <v>379</v>
      </c>
      <c r="D20" s="805" t="s">
        <v>817</v>
      </c>
      <c r="E20" s="806"/>
      <c r="F20" s="806"/>
      <c r="G20" s="807"/>
      <c r="H20" s="412"/>
      <c r="I20" s="393"/>
      <c r="J20" s="393"/>
      <c r="K20" s="393"/>
      <c r="L20" s="393"/>
      <c r="M20" s="393"/>
      <c r="N20" s="393"/>
      <c r="O20" s="393"/>
      <c r="P20" s="412"/>
      <c r="Q20" s="689"/>
      <c r="R20" s="427"/>
      <c r="U20" s="173" t="s">
        <v>463</v>
      </c>
    </row>
    <row r="21" spans="1:21" s="173" customFormat="1" ht="3" customHeight="1">
      <c r="A21" s="427"/>
      <c r="B21" s="688"/>
      <c r="C21" s="416"/>
      <c r="D21" s="420"/>
      <c r="E21" s="420"/>
      <c r="F21" s="420"/>
      <c r="G21" s="420"/>
      <c r="H21" s="412"/>
      <c r="I21" s="393"/>
      <c r="J21" s="393"/>
      <c r="K21" s="393"/>
      <c r="L21" s="412"/>
      <c r="M21" s="415"/>
      <c r="N21" s="417"/>
      <c r="O21" s="412"/>
      <c r="P21" s="412"/>
      <c r="Q21" s="689"/>
      <c r="R21" s="427"/>
      <c r="U21" s="173" t="s">
        <v>464</v>
      </c>
    </row>
    <row r="22" spans="1:21" s="173" customFormat="1" ht="15.6" customHeight="1">
      <c r="A22" s="427"/>
      <c r="B22" s="688"/>
      <c r="C22" s="416" t="s">
        <v>375</v>
      </c>
      <c r="D22" s="805" t="s">
        <v>451</v>
      </c>
      <c r="E22" s="806"/>
      <c r="F22" s="807"/>
      <c r="G22" s="412"/>
      <c r="H22" s="412"/>
      <c r="I22" s="393"/>
      <c r="J22" s="812" t="s">
        <v>385</v>
      </c>
      <c r="K22" s="436"/>
      <c r="L22" s="412" t="s">
        <v>247</v>
      </c>
      <c r="M22" s="415"/>
      <c r="N22" s="417" t="s">
        <v>246</v>
      </c>
      <c r="O22" s="412"/>
      <c r="P22" s="412"/>
      <c r="Q22" s="689"/>
      <c r="R22" s="427"/>
      <c r="U22" s="173" t="s">
        <v>465</v>
      </c>
    </row>
    <row r="23" spans="1:21" s="173" customFormat="1" ht="3" customHeight="1">
      <c r="A23" s="427"/>
      <c r="B23" s="688"/>
      <c r="C23" s="416"/>
      <c r="D23" s="420"/>
      <c r="E23" s="420"/>
      <c r="F23" s="420"/>
      <c r="G23" s="420"/>
      <c r="H23" s="412"/>
      <c r="I23" s="393"/>
      <c r="J23" s="812"/>
      <c r="K23" s="436"/>
      <c r="L23" s="412"/>
      <c r="M23" s="415"/>
      <c r="N23" s="417"/>
      <c r="O23" s="412"/>
      <c r="P23" s="412"/>
      <c r="Q23" s="689"/>
      <c r="R23" s="427"/>
      <c r="U23" s="173" t="s">
        <v>466</v>
      </c>
    </row>
    <row r="24" spans="1:21" s="173" customFormat="1" ht="15.6" customHeight="1">
      <c r="A24" s="427"/>
      <c r="B24" s="688"/>
      <c r="C24" s="416" t="s">
        <v>376</v>
      </c>
      <c r="D24" s="805" t="s">
        <v>818</v>
      </c>
      <c r="E24" s="807"/>
      <c r="F24" s="412"/>
      <c r="G24" s="412"/>
      <c r="H24" s="412"/>
      <c r="I24" s="393"/>
      <c r="J24" s="812"/>
      <c r="K24" s="436"/>
      <c r="L24" s="437">
        <v>2.5000000000000001E-3</v>
      </c>
      <c r="M24" s="432"/>
      <c r="N24" s="432"/>
      <c r="O24" s="412"/>
      <c r="P24" s="412"/>
      <c r="Q24" s="689"/>
      <c r="R24" s="427"/>
      <c r="U24" s="173" t="s">
        <v>467</v>
      </c>
    </row>
    <row r="25" spans="1:21" s="173" customFormat="1" ht="2.4500000000000002" customHeight="1">
      <c r="A25" s="427"/>
      <c r="B25" s="688"/>
      <c r="C25" s="416"/>
      <c r="D25" s="412"/>
      <c r="E25" s="412"/>
      <c r="F25" s="412"/>
      <c r="G25" s="412"/>
      <c r="H25" s="412"/>
      <c r="I25" s="393"/>
      <c r="J25" s="812"/>
      <c r="K25" s="436"/>
      <c r="L25" s="412"/>
      <c r="M25" s="415"/>
      <c r="N25" s="417"/>
      <c r="O25" s="412"/>
      <c r="P25" s="412"/>
      <c r="Q25" s="689"/>
      <c r="R25" s="427"/>
      <c r="U25" s="173" t="s">
        <v>468</v>
      </c>
    </row>
    <row r="26" spans="1:21" s="173" customFormat="1" ht="15.6" customHeight="1">
      <c r="A26" s="427"/>
      <c r="B26" s="688"/>
      <c r="C26" s="416" t="s">
        <v>410</v>
      </c>
      <c r="D26" s="645">
        <v>2018</v>
      </c>
      <c r="E26" s="645" t="s">
        <v>819</v>
      </c>
      <c r="F26" s="412"/>
      <c r="G26" s="412"/>
      <c r="H26" s="412"/>
      <c r="I26" s="393"/>
      <c r="J26" s="393"/>
      <c r="K26" s="393"/>
      <c r="L26" s="412"/>
      <c r="M26" s="415"/>
      <c r="N26" s="417"/>
      <c r="O26" s="412"/>
      <c r="P26" s="412"/>
      <c r="Q26" s="689"/>
      <c r="R26" s="427"/>
      <c r="U26" s="173" t="s">
        <v>469</v>
      </c>
    </row>
    <row r="27" spans="1:21" s="173" customFormat="1" ht="3" customHeight="1">
      <c r="A27" s="427"/>
      <c r="B27" s="688"/>
      <c r="C27" s="416"/>
      <c r="D27" s="412"/>
      <c r="E27" s="412"/>
      <c r="F27" s="412"/>
      <c r="G27" s="412"/>
      <c r="H27" s="412"/>
      <c r="I27" s="393"/>
      <c r="J27" s="393"/>
      <c r="K27" s="393"/>
      <c r="L27" s="412"/>
      <c r="M27" s="415"/>
      <c r="N27" s="417"/>
      <c r="O27" s="412"/>
      <c r="P27" s="412"/>
      <c r="Q27" s="689"/>
      <c r="R27" s="427"/>
      <c r="U27" s="173" t="s">
        <v>470</v>
      </c>
    </row>
    <row r="28" spans="1:21" s="173" customFormat="1" ht="15.6" customHeight="1">
      <c r="A28" s="427"/>
      <c r="B28" s="688"/>
      <c r="C28" s="416" t="s">
        <v>382</v>
      </c>
      <c r="D28" s="646">
        <v>43282</v>
      </c>
      <c r="E28" s="433" t="s">
        <v>692</v>
      </c>
      <c r="F28" s="412"/>
      <c r="G28" s="412"/>
      <c r="H28" s="412"/>
      <c r="I28" s="393"/>
      <c r="J28" s="393"/>
      <c r="K28" s="393"/>
      <c r="L28" s="412"/>
      <c r="M28" s="415"/>
      <c r="N28" s="417"/>
      <c r="O28" s="412"/>
      <c r="P28" s="412"/>
      <c r="Q28" s="689"/>
      <c r="R28" s="427"/>
      <c r="U28" s="173" t="s">
        <v>471</v>
      </c>
    </row>
    <row r="29" spans="1:21" s="173" customFormat="1" ht="3" customHeight="1">
      <c r="A29" s="427"/>
      <c r="B29" s="688"/>
      <c r="C29" s="416"/>
      <c r="D29" s="647"/>
      <c r="E29" s="412"/>
      <c r="F29" s="412"/>
      <c r="G29" s="412"/>
      <c r="H29" s="412"/>
      <c r="I29" s="393"/>
      <c r="J29" s="393"/>
      <c r="K29" s="393"/>
      <c r="L29" s="412"/>
      <c r="M29" s="415"/>
      <c r="N29" s="417"/>
      <c r="O29" s="412"/>
      <c r="P29" s="412"/>
      <c r="Q29" s="689"/>
      <c r="R29" s="427"/>
      <c r="U29" s="173" t="s">
        <v>472</v>
      </c>
    </row>
    <row r="30" spans="1:21" s="173" customFormat="1" ht="15.6" customHeight="1">
      <c r="A30" s="427"/>
      <c r="B30" s="688"/>
      <c r="C30" s="416" t="s">
        <v>706</v>
      </c>
      <c r="D30" s="646">
        <v>43617</v>
      </c>
      <c r="E30" s="433" t="s">
        <v>692</v>
      </c>
      <c r="F30" s="412"/>
      <c r="G30" s="412"/>
      <c r="H30" s="412"/>
      <c r="I30" s="393"/>
      <c r="J30" s="393"/>
      <c r="K30" s="393"/>
      <c r="L30" s="412"/>
      <c r="M30" s="415"/>
      <c r="N30" s="417"/>
      <c r="O30" s="412"/>
      <c r="P30" s="412"/>
      <c r="Q30" s="689"/>
      <c r="R30" s="427"/>
      <c r="U30" s="173" t="s">
        <v>473</v>
      </c>
    </row>
    <row r="31" spans="1:21" s="173" customFormat="1" ht="3" customHeight="1">
      <c r="A31" s="427"/>
      <c r="B31" s="688"/>
      <c r="C31" s="416"/>
      <c r="D31" s="433"/>
      <c r="E31" s="433"/>
      <c r="F31" s="412"/>
      <c r="G31" s="412"/>
      <c r="H31" s="412"/>
      <c r="I31" s="393"/>
      <c r="J31" s="393"/>
      <c r="K31" s="393"/>
      <c r="L31" s="412"/>
      <c r="M31" s="415"/>
      <c r="N31" s="417"/>
      <c r="O31" s="412"/>
      <c r="P31" s="412"/>
      <c r="Q31" s="689"/>
      <c r="R31" s="427"/>
    </row>
    <row r="32" spans="1:21" s="173" customFormat="1" ht="15.6" customHeight="1">
      <c r="A32" s="427"/>
      <c r="B32" s="688"/>
      <c r="C32" s="416" t="s">
        <v>707</v>
      </c>
      <c r="D32" s="769">
        <v>43651</v>
      </c>
      <c r="E32" s="433"/>
      <c r="F32" s="412"/>
      <c r="G32" s="412"/>
      <c r="H32" s="412"/>
      <c r="I32" s="393"/>
      <c r="J32" s="393"/>
      <c r="K32" s="393"/>
      <c r="L32" s="412"/>
      <c r="M32" s="415"/>
      <c r="N32" s="417"/>
      <c r="O32" s="412"/>
      <c r="P32" s="412"/>
      <c r="Q32" s="689"/>
      <c r="R32" s="427"/>
    </row>
    <row r="33" spans="1:21" s="173" customFormat="1" ht="3" customHeight="1">
      <c r="A33" s="427"/>
      <c r="B33" s="688"/>
      <c r="C33" s="418"/>
      <c r="D33" s="412"/>
      <c r="E33" s="412"/>
      <c r="F33" s="412"/>
      <c r="G33" s="412"/>
      <c r="H33" s="412"/>
      <c r="I33" s="393"/>
      <c r="J33" s="393"/>
      <c r="K33" s="393"/>
      <c r="L33" s="412"/>
      <c r="M33" s="393"/>
      <c r="N33" s="393"/>
      <c r="O33" s="412"/>
      <c r="P33" s="412"/>
      <c r="Q33" s="689"/>
      <c r="R33" s="427"/>
      <c r="U33" s="173" t="s">
        <v>474</v>
      </c>
    </row>
    <row r="34" spans="1:21" s="173" customFormat="1" ht="15.6" customHeight="1">
      <c r="A34" s="427"/>
      <c r="B34" s="688"/>
      <c r="C34" s="416" t="s">
        <v>769</v>
      </c>
      <c r="D34" s="801" t="s">
        <v>58</v>
      </c>
      <c r="E34" s="802"/>
      <c r="F34" s="803"/>
      <c r="G34" s="412"/>
      <c r="H34" s="412"/>
      <c r="I34" s="412"/>
      <c r="J34" s="412"/>
      <c r="K34" s="412"/>
      <c r="L34" s="412"/>
      <c r="M34" s="415"/>
      <c r="N34" s="417"/>
      <c r="O34" s="412"/>
      <c r="P34" s="412"/>
      <c r="Q34" s="689"/>
      <c r="R34" s="427"/>
      <c r="U34" s="173" t="s">
        <v>475</v>
      </c>
    </row>
    <row r="35" spans="1:21" s="173" customFormat="1" ht="3" customHeight="1">
      <c r="A35" s="427"/>
      <c r="B35" s="688"/>
      <c r="C35" s="434"/>
      <c r="D35" s="436"/>
      <c r="E35" s="436"/>
      <c r="F35" s="436"/>
      <c r="G35" s="412"/>
      <c r="H35" s="412"/>
      <c r="I35" s="412"/>
      <c r="J35" s="412"/>
      <c r="K35" s="412"/>
      <c r="L35" s="412"/>
      <c r="M35" s="415"/>
      <c r="N35" s="417"/>
      <c r="O35" s="412"/>
      <c r="P35" s="412"/>
      <c r="Q35" s="689"/>
      <c r="R35" s="427"/>
      <c r="U35" s="173" t="s">
        <v>476</v>
      </c>
    </row>
    <row r="36" spans="1:21" s="173" customFormat="1" ht="15.6" customHeight="1">
      <c r="A36" s="427"/>
      <c r="B36" s="694"/>
      <c r="C36" s="441" t="s">
        <v>388</v>
      </c>
      <c r="D36" s="813" t="s">
        <v>820</v>
      </c>
      <c r="E36" s="814"/>
      <c r="F36" s="420"/>
      <c r="G36" s="419"/>
      <c r="H36" s="412"/>
      <c r="I36" s="412"/>
      <c r="J36" s="412"/>
      <c r="K36" s="412"/>
      <c r="L36" s="412"/>
      <c r="M36" s="412"/>
      <c r="N36" s="412"/>
      <c r="O36" s="412"/>
      <c r="P36" s="412"/>
      <c r="Q36" s="689"/>
      <c r="R36" s="427"/>
      <c r="U36" s="173" t="s">
        <v>477</v>
      </c>
    </row>
    <row r="37" spans="1:21" s="173" customFormat="1" ht="25.15" customHeight="1">
      <c r="A37" s="427"/>
      <c r="B37" s="695"/>
      <c r="C37" s="420"/>
      <c r="D37" s="811" t="s">
        <v>393</v>
      </c>
      <c r="E37" s="811"/>
      <c r="F37" s="811"/>
      <c r="G37" s="811"/>
      <c r="H37" s="811"/>
      <c r="I37" s="811"/>
      <c r="J37" s="811"/>
      <c r="K37" s="811"/>
      <c r="L37" s="811"/>
      <c r="M37" s="811"/>
      <c r="N37" s="811"/>
      <c r="O37" s="811"/>
      <c r="P37" s="661"/>
      <c r="Q37" s="689"/>
      <c r="R37" s="427"/>
      <c r="U37" s="173" t="s">
        <v>478</v>
      </c>
    </row>
    <row r="38" spans="1:21" s="173" customFormat="1" ht="3.75" customHeight="1">
      <c r="A38" s="427"/>
      <c r="B38" s="695"/>
      <c r="C38" s="420"/>
      <c r="D38" s="412"/>
      <c r="E38" s="412"/>
      <c r="F38" s="412"/>
      <c r="G38" s="412"/>
      <c r="H38" s="412"/>
      <c r="I38" s="412"/>
      <c r="J38" s="412"/>
      <c r="K38" s="412"/>
      <c r="L38" s="412"/>
      <c r="M38" s="412"/>
      <c r="N38" s="412"/>
      <c r="O38" s="412"/>
      <c r="P38" s="412"/>
      <c r="Q38" s="689"/>
      <c r="R38" s="427"/>
      <c r="U38" s="173" t="s">
        <v>479</v>
      </c>
    </row>
    <row r="39" spans="1:21" s="173" customFormat="1" ht="22.5" customHeight="1">
      <c r="A39" s="427"/>
      <c r="B39" s="695"/>
      <c r="C39" s="420"/>
      <c r="D39" s="796"/>
      <c r="E39" s="796"/>
      <c r="F39" s="796"/>
      <c r="G39" s="796"/>
      <c r="H39" s="796"/>
      <c r="I39" s="796"/>
      <c r="J39" s="796"/>
      <c r="K39" s="796"/>
      <c r="L39" s="796"/>
      <c r="M39" s="796"/>
      <c r="N39" s="796"/>
      <c r="O39" s="796"/>
      <c r="P39" s="661"/>
      <c r="Q39" s="689"/>
      <c r="R39" s="427"/>
      <c r="U39" s="173" t="s">
        <v>480</v>
      </c>
    </row>
    <row r="40" spans="1:21" s="173" customFormat="1" ht="3.75" customHeight="1">
      <c r="A40" s="427"/>
      <c r="B40" s="695"/>
      <c r="C40" s="420"/>
      <c r="D40" s="412"/>
      <c r="E40" s="412"/>
      <c r="F40" s="412"/>
      <c r="G40" s="412"/>
      <c r="H40" s="412"/>
      <c r="I40" s="412"/>
      <c r="J40" s="412"/>
      <c r="K40" s="412"/>
      <c r="L40" s="412"/>
      <c r="M40" s="412"/>
      <c r="N40" s="412"/>
      <c r="O40" s="412"/>
      <c r="P40" s="412"/>
      <c r="Q40" s="689"/>
      <c r="R40" s="427"/>
      <c r="U40" s="173" t="s">
        <v>481</v>
      </c>
    </row>
    <row r="41" spans="1:21" s="173" customFormat="1" ht="22.5" customHeight="1">
      <c r="A41" s="427"/>
      <c r="B41" s="695"/>
      <c r="C41" s="420"/>
      <c r="D41" s="796"/>
      <c r="E41" s="796"/>
      <c r="F41" s="796"/>
      <c r="G41" s="796"/>
      <c r="H41" s="796"/>
      <c r="I41" s="796"/>
      <c r="J41" s="796"/>
      <c r="K41" s="796"/>
      <c r="L41" s="796"/>
      <c r="M41" s="796"/>
      <c r="N41" s="796"/>
      <c r="O41" s="796"/>
      <c r="P41" s="661"/>
      <c r="Q41" s="689"/>
      <c r="R41" s="427"/>
      <c r="U41" s="173" t="s">
        <v>482</v>
      </c>
    </row>
    <row r="42" spans="1:21" s="173" customFormat="1" ht="3.75" customHeight="1">
      <c r="A42" s="427"/>
      <c r="B42" s="695"/>
      <c r="C42" s="420"/>
      <c r="D42" s="412"/>
      <c r="E42" s="412"/>
      <c r="F42" s="412"/>
      <c r="G42" s="412"/>
      <c r="H42" s="412"/>
      <c r="I42" s="412"/>
      <c r="J42" s="412"/>
      <c r="K42" s="412"/>
      <c r="L42" s="412"/>
      <c r="M42" s="412"/>
      <c r="N42" s="412"/>
      <c r="O42" s="412"/>
      <c r="P42" s="412"/>
      <c r="Q42" s="689"/>
      <c r="R42" s="427"/>
      <c r="U42" s="173" t="s">
        <v>483</v>
      </c>
    </row>
    <row r="43" spans="1:21" s="173" customFormat="1" ht="22.5" customHeight="1">
      <c r="A43" s="427"/>
      <c r="B43" s="695"/>
      <c r="C43" s="420"/>
      <c r="D43" s="796"/>
      <c r="E43" s="796"/>
      <c r="F43" s="796"/>
      <c r="G43" s="796"/>
      <c r="H43" s="796"/>
      <c r="I43" s="796"/>
      <c r="J43" s="796"/>
      <c r="K43" s="796"/>
      <c r="L43" s="796"/>
      <c r="M43" s="796"/>
      <c r="N43" s="796"/>
      <c r="O43" s="796"/>
      <c r="P43" s="661"/>
      <c r="Q43" s="689"/>
      <c r="R43" s="427"/>
      <c r="U43" s="173" t="s">
        <v>484</v>
      </c>
    </row>
    <row r="44" spans="1:21" s="173" customFormat="1" ht="21" customHeight="1">
      <c r="A44" s="427"/>
      <c r="B44" s="695"/>
      <c r="C44" s="420"/>
      <c r="D44" s="661"/>
      <c r="E44" s="661"/>
      <c r="F44" s="661"/>
      <c r="G44" s="661"/>
      <c r="H44" s="661"/>
      <c r="I44" s="661"/>
      <c r="J44" s="661"/>
      <c r="K44" s="661"/>
      <c r="L44" s="661"/>
      <c r="M44" s="661"/>
      <c r="N44" s="661"/>
      <c r="O44" s="661"/>
      <c r="P44" s="661"/>
      <c r="Q44" s="689"/>
      <c r="R44" s="427"/>
      <c r="U44" s="173" t="s">
        <v>485</v>
      </c>
    </row>
    <row r="45" spans="1:21" s="173" customFormat="1" ht="22.5" customHeight="1">
      <c r="A45" s="427"/>
      <c r="B45" s="695"/>
      <c r="C45" s="420"/>
      <c r="D45" s="796"/>
      <c r="E45" s="796"/>
      <c r="F45" s="796"/>
      <c r="G45" s="796"/>
      <c r="H45" s="796"/>
      <c r="I45" s="796"/>
      <c r="J45" s="796"/>
      <c r="K45" s="796"/>
      <c r="L45" s="796"/>
      <c r="M45" s="796"/>
      <c r="N45" s="796"/>
      <c r="O45" s="796"/>
      <c r="P45" s="661"/>
      <c r="Q45" s="689"/>
      <c r="R45" s="427"/>
      <c r="U45" s="173" t="s">
        <v>486</v>
      </c>
    </row>
    <row r="46" spans="1:21" s="173" customFormat="1" ht="19.149999999999999" customHeight="1">
      <c r="A46" s="427"/>
      <c r="B46" s="695"/>
      <c r="C46" s="420"/>
      <c r="D46" s="412"/>
      <c r="E46" s="412"/>
      <c r="F46" s="412"/>
      <c r="G46" s="412"/>
      <c r="H46" s="412"/>
      <c r="I46" s="412"/>
      <c r="J46" s="412"/>
      <c r="K46" s="412"/>
      <c r="L46" s="412"/>
      <c r="M46" s="412"/>
      <c r="N46" s="412"/>
      <c r="O46" s="412"/>
      <c r="P46" s="412"/>
      <c r="Q46" s="689"/>
      <c r="R46" s="427"/>
      <c r="U46" s="173" t="s">
        <v>487</v>
      </c>
    </row>
    <row r="47" spans="1:21" s="173" customFormat="1" ht="27.6" customHeight="1">
      <c r="A47" s="427"/>
      <c r="B47" s="695"/>
      <c r="C47" s="420"/>
      <c r="D47" s="412"/>
      <c r="E47" s="412"/>
      <c r="F47" s="412"/>
      <c r="G47" s="412"/>
      <c r="H47" s="412"/>
      <c r="I47" s="412"/>
      <c r="J47" s="412"/>
      <c r="K47" s="412"/>
      <c r="L47" s="412"/>
      <c r="M47" s="412"/>
      <c r="N47" s="412"/>
      <c r="O47" s="412"/>
      <c r="P47" s="412"/>
      <c r="Q47" s="689"/>
      <c r="R47" s="427"/>
      <c r="U47" s="173" t="s">
        <v>488</v>
      </c>
    </row>
    <row r="48" spans="1:21" s="173" customFormat="1" ht="27.6" customHeight="1">
      <c r="A48" s="427"/>
      <c r="B48" s="695"/>
      <c r="C48" s="420"/>
      <c r="D48" s="412"/>
      <c r="E48" s="412"/>
      <c r="F48" s="412"/>
      <c r="G48" s="412"/>
      <c r="H48" s="412"/>
      <c r="I48" s="412"/>
      <c r="J48" s="412"/>
      <c r="K48" s="412"/>
      <c r="L48" s="412"/>
      <c r="M48" s="412"/>
      <c r="N48" s="412"/>
      <c r="O48" s="412"/>
      <c r="P48" s="412"/>
      <c r="Q48" s="689"/>
      <c r="R48" s="427"/>
      <c r="U48" s="173" t="s">
        <v>489</v>
      </c>
    </row>
    <row r="49" spans="1:21" s="173" customFormat="1" ht="27.6" customHeight="1">
      <c r="A49" s="427"/>
      <c r="B49" s="695"/>
      <c r="C49" s="420"/>
      <c r="D49" s="412"/>
      <c r="E49" s="412"/>
      <c r="F49" s="412"/>
      <c r="G49" s="412"/>
      <c r="H49" s="412"/>
      <c r="I49" s="412"/>
      <c r="J49" s="412"/>
      <c r="K49" s="412"/>
      <c r="L49" s="412"/>
      <c r="M49" s="412"/>
      <c r="N49" s="412"/>
      <c r="O49" s="412"/>
      <c r="P49" s="412"/>
      <c r="Q49" s="689"/>
      <c r="R49" s="427"/>
      <c r="U49" s="173" t="s">
        <v>490</v>
      </c>
    </row>
    <row r="50" spans="1:21" s="173" customFormat="1" ht="27.6" customHeight="1">
      <c r="A50" s="427"/>
      <c r="B50" s="695"/>
      <c r="C50" s="420"/>
      <c r="D50" s="412"/>
      <c r="E50" s="412"/>
      <c r="F50" s="412"/>
      <c r="G50" s="412"/>
      <c r="H50" s="412"/>
      <c r="I50" s="412"/>
      <c r="J50" s="412"/>
      <c r="K50" s="412"/>
      <c r="L50" s="412"/>
      <c r="M50" s="412"/>
      <c r="N50" s="412"/>
      <c r="O50" s="412"/>
      <c r="P50" s="412"/>
      <c r="Q50" s="689"/>
      <c r="R50" s="427"/>
      <c r="U50" s="173" t="s">
        <v>491</v>
      </c>
    </row>
    <row r="51" spans="1:21" s="173" customFormat="1" ht="22.5" customHeight="1">
      <c r="A51" s="427"/>
      <c r="B51" s="695"/>
      <c r="C51" s="421"/>
      <c r="D51" s="420"/>
      <c r="E51" s="661"/>
      <c r="F51" s="661"/>
      <c r="G51" s="661"/>
      <c r="H51" s="661"/>
      <c r="I51" s="661"/>
      <c r="J51" s="661"/>
      <c r="K51" s="661"/>
      <c r="L51" s="421" t="s">
        <v>391</v>
      </c>
      <c r="M51" s="422" t="s">
        <v>245</v>
      </c>
      <c r="N51" s="661"/>
      <c r="O51" s="661"/>
      <c r="P51" s="661"/>
      <c r="Q51" s="689"/>
      <c r="R51" s="427"/>
      <c r="U51" s="173" t="s">
        <v>492</v>
      </c>
    </row>
    <row r="52" spans="1:21" s="173" customFormat="1" ht="5.25" customHeight="1" thickBot="1">
      <c r="A52" s="427"/>
      <c r="B52" s="696"/>
      <c r="C52" s="697"/>
      <c r="D52" s="697"/>
      <c r="E52" s="697"/>
      <c r="F52" s="697"/>
      <c r="G52" s="697"/>
      <c r="H52" s="697"/>
      <c r="I52" s="697"/>
      <c r="J52" s="697"/>
      <c r="K52" s="697"/>
      <c r="L52" s="697"/>
      <c r="M52" s="697"/>
      <c r="N52" s="697"/>
      <c r="O52" s="697"/>
      <c r="P52" s="697"/>
      <c r="Q52" s="698"/>
      <c r="R52" s="427"/>
      <c r="U52" s="173" t="s">
        <v>493</v>
      </c>
    </row>
    <row r="53" spans="1:21" ht="13.5" customHeight="1" thickTop="1">
      <c r="A53" s="426"/>
      <c r="B53" s="426"/>
      <c r="C53" s="426"/>
      <c r="D53" s="426"/>
      <c r="E53" s="426"/>
      <c r="F53" s="426"/>
      <c r="G53" s="426"/>
      <c r="H53" s="426"/>
      <c r="I53" s="426"/>
      <c r="J53" s="426"/>
      <c r="K53" s="426"/>
      <c r="L53" s="426"/>
      <c r="M53" s="426"/>
      <c r="N53" s="426"/>
      <c r="O53" s="426"/>
      <c r="P53" s="426"/>
      <c r="Q53" s="426"/>
      <c r="R53" s="426"/>
      <c r="U53" s="386" t="s">
        <v>494</v>
      </c>
    </row>
    <row r="54" spans="1:21" hidden="1">
      <c r="A54" s="426"/>
      <c r="B54" s="426"/>
      <c r="C54" s="426"/>
      <c r="D54" s="426"/>
      <c r="E54" s="426"/>
      <c r="F54" s="426"/>
      <c r="G54" s="426"/>
      <c r="H54" s="426"/>
      <c r="I54" s="426"/>
      <c r="J54" s="426"/>
      <c r="K54" s="426"/>
      <c r="L54" s="426"/>
      <c r="M54" s="426"/>
      <c r="N54" s="426"/>
      <c r="O54" s="426"/>
      <c r="P54" s="426"/>
      <c r="Q54" s="426"/>
      <c r="R54" s="426"/>
      <c r="U54" s="386" t="s">
        <v>495</v>
      </c>
    </row>
    <row r="55" spans="1:21" hidden="1">
      <c r="A55" s="426"/>
      <c r="B55" s="426"/>
      <c r="C55" s="426"/>
      <c r="D55" s="426"/>
      <c r="E55" s="426"/>
      <c r="F55" s="426"/>
      <c r="G55" s="426"/>
      <c r="H55" s="426"/>
      <c r="I55" s="426"/>
      <c r="J55" s="426"/>
      <c r="K55" s="426"/>
      <c r="L55" s="426"/>
      <c r="M55" s="426"/>
      <c r="N55" s="426"/>
      <c r="O55" s="426"/>
      <c r="P55" s="426"/>
      <c r="Q55" s="426"/>
      <c r="R55" s="426"/>
      <c r="U55" s="386" t="s">
        <v>496</v>
      </c>
    </row>
    <row r="56" spans="1:21" hidden="1">
      <c r="A56" s="426"/>
      <c r="B56" s="426"/>
      <c r="C56" s="426"/>
      <c r="D56" s="426"/>
      <c r="E56" s="426"/>
      <c r="F56" s="426"/>
      <c r="G56" s="426"/>
      <c r="H56" s="426"/>
      <c r="I56" s="426"/>
      <c r="J56" s="426"/>
      <c r="K56" s="426"/>
      <c r="L56" s="426"/>
      <c r="M56" s="426"/>
      <c r="N56" s="426"/>
      <c r="O56" s="426"/>
      <c r="P56" s="426"/>
      <c r="Q56" s="426"/>
      <c r="R56" s="426"/>
      <c r="U56" s="386" t="s">
        <v>497</v>
      </c>
    </row>
    <row r="57" spans="1:21" hidden="1">
      <c r="A57" s="426"/>
      <c r="B57" s="426"/>
      <c r="C57" s="426"/>
      <c r="D57" s="426"/>
      <c r="E57" s="426"/>
      <c r="F57" s="426"/>
      <c r="G57" s="426"/>
      <c r="H57" s="426"/>
      <c r="I57" s="426"/>
      <c r="J57" s="426"/>
      <c r="K57" s="426"/>
      <c r="L57" s="426"/>
      <c r="M57" s="426"/>
      <c r="N57" s="426"/>
      <c r="O57" s="426"/>
      <c r="P57" s="426"/>
      <c r="Q57" s="426"/>
      <c r="R57" s="426"/>
      <c r="U57" s="386" t="s">
        <v>498</v>
      </c>
    </row>
    <row r="58" spans="1:21" hidden="1">
      <c r="A58" s="426"/>
      <c r="B58" s="426"/>
      <c r="C58" s="426"/>
      <c r="D58" s="426"/>
      <c r="E58" s="426"/>
      <c r="F58" s="426"/>
      <c r="G58" s="426"/>
      <c r="H58" s="426"/>
      <c r="I58" s="426"/>
      <c r="J58" s="426"/>
      <c r="K58" s="426"/>
      <c r="L58" s="426"/>
      <c r="M58" s="426"/>
      <c r="N58" s="426"/>
      <c r="O58" s="426"/>
      <c r="P58" s="426"/>
      <c r="Q58" s="426"/>
      <c r="R58" s="426"/>
      <c r="U58" s="386" t="s">
        <v>499</v>
      </c>
    </row>
    <row r="59" spans="1:21" hidden="1">
      <c r="A59" s="426"/>
      <c r="B59" s="426"/>
      <c r="C59" s="426"/>
      <c r="D59" s="426"/>
      <c r="E59" s="426"/>
      <c r="F59" s="426"/>
      <c r="G59" s="426"/>
      <c r="H59" s="426"/>
      <c r="I59" s="426"/>
      <c r="J59" s="426"/>
      <c r="K59" s="426"/>
      <c r="L59" s="426"/>
      <c r="M59" s="426"/>
      <c r="N59" s="426"/>
      <c r="O59" s="426"/>
      <c r="P59" s="426"/>
      <c r="Q59" s="426"/>
      <c r="R59" s="426"/>
      <c r="U59" s="386" t="s">
        <v>500</v>
      </c>
    </row>
    <row r="60" spans="1:21" hidden="1">
      <c r="U60" s="386" t="s">
        <v>501</v>
      </c>
    </row>
    <row r="61" spans="1:21" hidden="1">
      <c r="U61" s="386" t="s">
        <v>502</v>
      </c>
    </row>
    <row r="62" spans="1:21" hidden="1">
      <c r="U62" s="386" t="s">
        <v>503</v>
      </c>
    </row>
    <row r="63" spans="1:21" hidden="1">
      <c r="U63" s="386" t="s">
        <v>504</v>
      </c>
    </row>
    <row r="64" spans="1:21" hidden="1">
      <c r="U64" s="386" t="s">
        <v>505</v>
      </c>
    </row>
    <row r="65" spans="21:21" hidden="1">
      <c r="U65" s="386" t="s">
        <v>506</v>
      </c>
    </row>
    <row r="66" spans="21:21" hidden="1">
      <c r="U66" s="386" t="s">
        <v>507</v>
      </c>
    </row>
    <row r="67" spans="21:21" hidden="1">
      <c r="U67" s="386" t="s">
        <v>508</v>
      </c>
    </row>
    <row r="68" spans="21:21" hidden="1">
      <c r="U68" s="386" t="s">
        <v>509</v>
      </c>
    </row>
    <row r="69" spans="21:21" hidden="1">
      <c r="U69" s="386" t="s">
        <v>510</v>
      </c>
    </row>
    <row r="70" spans="21:21" hidden="1">
      <c r="U70" s="386" t="s">
        <v>511</v>
      </c>
    </row>
    <row r="71" spans="21:21" hidden="1">
      <c r="U71" s="386" t="s">
        <v>713</v>
      </c>
    </row>
    <row r="72" spans="21:21" hidden="1"/>
    <row r="73" spans="21:21" hidden="1"/>
    <row r="74" spans="21:21" hidden="1"/>
    <row r="75" spans="21:21" hidden="1"/>
    <row r="76" spans="21:21" hidden="1"/>
    <row r="77" spans="21:21" hidden="1"/>
    <row r="78" spans="21:21" hidden="1"/>
    <row r="79" spans="21:21" hidden="1"/>
  </sheetData>
  <sheetProtection password="8B16" sheet="1" objects="1" scenarios="1"/>
  <mergeCells count="20">
    <mergeCell ref="B2:Q2"/>
    <mergeCell ref="D18:G18"/>
    <mergeCell ref="D37:O37"/>
    <mergeCell ref="D20:G20"/>
    <mergeCell ref="D14:G14"/>
    <mergeCell ref="C6:O6"/>
    <mergeCell ref="C4:O5"/>
    <mergeCell ref="D36:E36"/>
    <mergeCell ref="D24:E24"/>
    <mergeCell ref="J22:J25"/>
    <mergeCell ref="D39:O39"/>
    <mergeCell ref="D43:O43"/>
    <mergeCell ref="C7:O7"/>
    <mergeCell ref="D12:G12"/>
    <mergeCell ref="D45:O45"/>
    <mergeCell ref="D41:O41"/>
    <mergeCell ref="D34:F34"/>
    <mergeCell ref="C10:G10"/>
    <mergeCell ref="J10:O10"/>
    <mergeCell ref="D22:F22"/>
  </mergeCells>
  <phoneticPr fontId="0" type="noConversion"/>
  <conditionalFormatting sqref="D28">
    <cfRule type="expression" dxfId="127" priority="10" stopIfTrue="1">
      <formula>$E$26="Calendar Year"</formula>
    </cfRule>
  </conditionalFormatting>
  <conditionalFormatting sqref="E28">
    <cfRule type="expression" dxfId="126" priority="8" stopIfTrue="1">
      <formula>$E$26="Calendar Year"</formula>
    </cfRule>
  </conditionalFormatting>
  <conditionalFormatting sqref="C28">
    <cfRule type="expression" dxfId="125" priority="7" stopIfTrue="1">
      <formula>$E$26="Calendar Year"</formula>
    </cfRule>
  </conditionalFormatting>
  <conditionalFormatting sqref="C30">
    <cfRule type="expression" dxfId="124" priority="4" stopIfTrue="1">
      <formula>$E$26="Calendar Year"</formula>
    </cfRule>
  </conditionalFormatting>
  <conditionalFormatting sqref="D30">
    <cfRule type="expression" dxfId="123" priority="3" stopIfTrue="1">
      <formula>$E$26="Calendar Year"</formula>
    </cfRule>
  </conditionalFormatting>
  <conditionalFormatting sqref="E30:E32 D31">
    <cfRule type="expression" dxfId="122" priority="2" stopIfTrue="1">
      <formula>$E$26="Calendar Year"</formula>
    </cfRule>
  </conditionalFormatting>
  <dataValidations count="3">
    <dataValidation type="list" allowBlank="1" showInputMessage="1" showErrorMessage="1" sqref="E26">
      <formula1>"Select Type...,Calendar Year,Financial Year"</formula1>
    </dataValidation>
    <dataValidation type="list" allowBlank="1" showInputMessage="1" showErrorMessage="1" errorTitle="Water Balance Units" error="You have not entered a valid option" promptTitle="Water Balance Units" prompt="Please choose from the following units" sqref="D34">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D22">
      <formula1>$U$3:$U$71</formula1>
    </dataValidation>
  </dataValidations>
  <hyperlinks>
    <hyperlink ref="M51" r:id="rId1"/>
    <hyperlink ref="M12" location="'Reporting Worksheet'!A1" display="Reporting Worksheet"/>
  </hyperlinks>
  <printOptions horizontalCentered="1" verticalCentered="1"/>
  <pageMargins left="0.41" right="0.47" top="0.76" bottom="0.75" header="0.5" footer="0.5"/>
  <pageSetup scale="72" orientation="landscape" r:id="rId2"/>
  <headerFooter alignWithMargins="0">
    <oddFooter>&amp;CAWWA Free Water Audit Software v5.0&amp;R&amp;A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06510" r:id="rId5" name="Option Button 4718">
              <controlPr defaultSize="0" autoFill="0" autoLine="0" autoPict="0">
                <anchor moveWithCells="1">
                  <from>
                    <xdr:col>12</xdr:col>
                    <xdr:colOff>352425</xdr:colOff>
                    <xdr:row>22</xdr:row>
                    <xdr:rowOff>28575</xdr:rowOff>
                  </from>
                  <to>
                    <xdr:col>13</xdr:col>
                    <xdr:colOff>9525</xdr:colOff>
                    <xdr:row>24</xdr:row>
                    <xdr:rowOff>9525</xdr:rowOff>
                  </to>
                </anchor>
              </controlPr>
            </control>
          </mc:Choice>
        </mc:AlternateContent>
        <mc:AlternateContent xmlns:mc="http://schemas.openxmlformats.org/markup-compatibility/2006">
          <mc:Choice Requires="x14">
            <control shapeId="806511" r:id="rId6" name="Option Button 4719">
              <controlPr defaultSize="0" autoFill="0" autoLine="0" autoPict="0">
                <anchor moveWithCells="1">
                  <from>
                    <xdr:col>12</xdr:col>
                    <xdr:colOff>95250</xdr:colOff>
                    <xdr:row>23</xdr:row>
                    <xdr:rowOff>0</xdr:rowOff>
                  </from>
                  <to>
                    <xdr:col>12</xdr:col>
                    <xdr:colOff>276225</xdr:colOff>
                    <xdr:row>23</xdr:row>
                    <xdr:rowOff>190500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IU200"/>
  <sheetViews>
    <sheetView showGridLines="0" tabSelected="1" topLeftCell="B1" zoomScaleNormal="100" workbookViewId="0">
      <pane ySplit="6" topLeftCell="A7" activePane="bottomLeft" state="frozen"/>
      <selection activeCell="J22" sqref="J22:J25"/>
      <selection pane="bottomLeft" activeCell="C55" sqref="C55"/>
    </sheetView>
  </sheetViews>
  <sheetFormatPr defaultColWidth="0" defaultRowHeight="12.75" zeroHeight="1"/>
  <cols>
    <col min="1" max="1" width="1.140625" style="214" customWidth="1"/>
    <col min="2" max="2" width="1.85546875" style="214" customWidth="1"/>
    <col min="3" max="3" width="57.85546875" style="214" customWidth="1"/>
    <col min="4" max="4" width="7.5703125" style="214" customWidth="1"/>
    <col min="5" max="5" width="3.5703125" style="215" customWidth="1"/>
    <col min="6" max="6" width="0.7109375" style="214" customWidth="1"/>
    <col min="7" max="7" width="17.85546875" style="214" customWidth="1"/>
    <col min="8" max="8" width="0.7109375" style="214" customWidth="1"/>
    <col min="9" max="9" width="22.42578125" style="214" customWidth="1"/>
    <col min="10" max="10" width="3.5703125" style="214" customWidth="1"/>
    <col min="11" max="11" width="0.7109375" style="214" customWidth="1"/>
    <col min="12" max="12" width="7.28515625" style="214" customWidth="1"/>
    <col min="13" max="13" width="9" style="214" customWidth="1"/>
    <col min="14" max="14" width="8" style="214" customWidth="1"/>
    <col min="15" max="15" width="6" style="214" customWidth="1"/>
    <col min="16" max="16" width="8.7109375" style="214" customWidth="1"/>
    <col min="17" max="17" width="2.28515625" style="214" customWidth="1"/>
    <col min="18" max="18" width="6.7109375" style="214" hidden="1" customWidth="1"/>
    <col min="19" max="19" width="11.7109375" style="214" hidden="1" customWidth="1"/>
    <col min="20" max="20" width="12.28515625" style="214" hidden="1" customWidth="1"/>
    <col min="21" max="21" width="15.28515625" style="214" hidden="1" customWidth="1"/>
    <col min="22" max="22" width="10.140625" style="214" hidden="1" customWidth="1"/>
    <col min="23" max="24" width="8.85546875" style="214" hidden="1" customWidth="1"/>
    <col min="25" max="25" width="11.42578125" style="214" hidden="1" customWidth="1"/>
    <col min="26" max="255" width="8.85546875" style="214" hidden="1" customWidth="1"/>
    <col min="256" max="16384" width="1.28515625" style="214" hidden="1"/>
  </cols>
  <sheetData>
    <row r="1" spans="1:23" s="211" customFormat="1" ht="6.75" customHeight="1" thickBot="1">
      <c r="A1" s="427"/>
      <c r="B1" s="427"/>
      <c r="C1" s="427"/>
      <c r="D1" s="427"/>
      <c r="E1" s="526"/>
      <c r="F1" s="427"/>
      <c r="G1" s="427"/>
      <c r="H1" s="427"/>
      <c r="I1" s="427"/>
      <c r="J1" s="427"/>
      <c r="K1" s="427"/>
      <c r="L1" s="427"/>
      <c r="M1" s="427"/>
      <c r="N1" s="427"/>
      <c r="O1" s="427"/>
      <c r="P1" s="427"/>
      <c r="Q1" s="427"/>
    </row>
    <row r="2" spans="1:23" s="173" customFormat="1" ht="42" customHeight="1" thickTop="1">
      <c r="A2" s="427"/>
      <c r="B2" s="841" t="s">
        <v>367</v>
      </c>
      <c r="C2" s="842"/>
      <c r="D2" s="842"/>
      <c r="E2" s="842"/>
      <c r="F2" s="842"/>
      <c r="G2" s="842"/>
      <c r="H2" s="842"/>
      <c r="I2" s="842"/>
      <c r="J2" s="842"/>
      <c r="K2" s="842"/>
      <c r="L2" s="842"/>
      <c r="M2" s="842"/>
      <c r="N2" s="842"/>
      <c r="O2" s="842"/>
      <c r="P2" s="843"/>
      <c r="Q2" s="427"/>
    </row>
    <row r="3" spans="1:23" s="173" customFormat="1" ht="8.25" customHeight="1">
      <c r="A3" s="427"/>
      <c r="B3" s="670"/>
      <c r="C3" s="302"/>
      <c r="D3" s="303"/>
      <c r="E3" s="304"/>
      <c r="F3" s="303"/>
      <c r="G3" s="305"/>
      <c r="H3" s="305"/>
      <c r="I3" s="305"/>
      <c r="J3" s="305"/>
      <c r="K3" s="305"/>
      <c r="L3" s="305"/>
      <c r="M3" s="305"/>
      <c r="N3" s="305"/>
      <c r="O3" s="305"/>
      <c r="P3" s="671"/>
      <c r="Q3" s="427"/>
    </row>
    <row r="4" spans="1:23" s="173" customFormat="1">
      <c r="A4" s="426"/>
      <c r="B4" s="670"/>
      <c r="C4" s="366" t="s">
        <v>193</v>
      </c>
      <c r="D4" s="850" t="str">
        <f>IF(ISBLANK(Instructions!D18),"&lt;&lt; Please enter system details and contact information on the Instructions tab &gt;&gt;",Instructions!D18&amp;IF(ISBLANK(Instructions!D36),"","  ("&amp;Instructions!D36&amp;")"))</f>
        <v>Sunnyslope County Water District  (CA3510003)</v>
      </c>
      <c r="E4" s="851"/>
      <c r="F4" s="851"/>
      <c r="G4" s="851"/>
      <c r="H4" s="851"/>
      <c r="I4" s="851"/>
      <c r="J4" s="851"/>
      <c r="K4" s="851"/>
      <c r="L4" s="851"/>
      <c r="M4" s="852"/>
      <c r="N4" s="305"/>
      <c r="O4" s="305"/>
      <c r="P4" s="671"/>
      <c r="Q4" s="427"/>
    </row>
    <row r="5" spans="1:23" s="173" customFormat="1">
      <c r="A5" s="427"/>
      <c r="B5" s="670"/>
      <c r="C5" s="366" t="s">
        <v>194</v>
      </c>
      <c r="D5" s="846">
        <f>IF(ISBLANK(Instructions!D26),"",Instructions!D26)</f>
        <v>2018</v>
      </c>
      <c r="E5" s="847"/>
      <c r="F5" s="303"/>
      <c r="G5" s="848" t="str">
        <f>IF(ISBLANK(Instructions!D26),"",IF(Instructions!E26="Calendar Year","1/"&amp;Instructions!D26&amp;" - "&amp;"12/"&amp;Instructions!D26,IF(OR(ISBLANK(Instructions!D28),ISBLANK(Instructions!D30)),"",MONTH(Instructions!D28)&amp;"/"&amp;YEAR(Instructions!D28)&amp;" - "&amp;MONTH(Instructions!D30)&amp;"/"&amp;YEAR(Instructions!D30))))</f>
        <v>7/2018 - 6/2019</v>
      </c>
      <c r="H5" s="849"/>
      <c r="I5" s="305"/>
      <c r="J5" s="305"/>
      <c r="K5" s="305"/>
      <c r="L5" s="305"/>
      <c r="M5" s="305"/>
      <c r="N5" s="305"/>
      <c r="O5" s="305"/>
      <c r="P5" s="671"/>
      <c r="Q5" s="427"/>
    </row>
    <row r="6" spans="1:23" s="173" customFormat="1" ht="3.75" customHeight="1">
      <c r="A6" s="427"/>
      <c r="B6" s="670"/>
      <c r="C6" s="306"/>
      <c r="D6" s="303"/>
      <c r="E6" s="304"/>
      <c r="F6" s="303"/>
      <c r="G6" s="305"/>
      <c r="H6" s="305"/>
      <c r="I6" s="305"/>
      <c r="J6" s="305"/>
      <c r="K6" s="305"/>
      <c r="L6" s="305"/>
      <c r="M6" s="305"/>
      <c r="N6" s="305"/>
      <c r="O6" s="305"/>
      <c r="P6" s="671"/>
      <c r="Q6" s="427"/>
    </row>
    <row r="7" spans="1:23" s="173" customFormat="1" ht="18" customHeight="1">
      <c r="A7" s="427"/>
      <c r="B7" s="670"/>
      <c r="C7" s="845"/>
      <c r="D7" s="845"/>
      <c r="E7" s="845"/>
      <c r="F7" s="845"/>
      <c r="G7" s="845"/>
      <c r="H7" s="845"/>
      <c r="I7" s="845"/>
      <c r="J7" s="845"/>
      <c r="K7" s="845"/>
      <c r="L7" s="845"/>
      <c r="M7" s="845"/>
      <c r="N7" s="845"/>
      <c r="O7" s="845"/>
      <c r="P7" s="671"/>
      <c r="Q7" s="427"/>
    </row>
    <row r="8" spans="1:23" s="173" customFormat="1" ht="13.5" customHeight="1">
      <c r="A8" s="427"/>
      <c r="B8" s="670"/>
      <c r="C8" s="845"/>
      <c r="D8" s="845"/>
      <c r="E8" s="845"/>
      <c r="F8" s="845"/>
      <c r="G8" s="845"/>
      <c r="H8" s="845"/>
      <c r="I8" s="845"/>
      <c r="J8" s="845"/>
      <c r="K8" s="845"/>
      <c r="L8" s="845"/>
      <c r="M8" s="845"/>
      <c r="N8" s="845"/>
      <c r="O8" s="845"/>
      <c r="P8" s="671"/>
      <c r="Q8" s="427"/>
    </row>
    <row r="9" spans="1:23" s="173" customFormat="1" ht="15" customHeight="1">
      <c r="A9" s="427"/>
      <c r="B9" s="670"/>
      <c r="C9" s="666"/>
      <c r="D9" s="666"/>
      <c r="E9" s="672"/>
      <c r="F9" s="666"/>
      <c r="G9" s="673" t="str">
        <f>IF(ISBLANK(Instructions!D34),"PLEASE CHOOSE REPORTING UNITS FROM THE INSTRUCTIONS SHEET BEFORE ENTERING DATA","All volumes to be entered as: "&amp;UPPER(Instructions!$D$34)&amp;" PER YEAR")</f>
        <v>All volumes to be entered as: MILLION GALLONS (US) PER YEAR</v>
      </c>
      <c r="H9" s="666"/>
      <c r="I9" s="666"/>
      <c r="J9" s="666"/>
      <c r="K9" s="666"/>
      <c r="L9" s="666"/>
      <c r="M9" s="666"/>
      <c r="N9" s="666"/>
      <c r="O9" s="666"/>
      <c r="P9" s="671"/>
      <c r="Q9" s="427"/>
      <c r="S9" s="519"/>
      <c r="T9" s="519"/>
    </row>
    <row r="10" spans="1:23" s="173" customFormat="1" ht="3" customHeight="1">
      <c r="A10" s="427"/>
      <c r="B10" s="670"/>
      <c r="C10" s="307"/>
      <c r="D10" s="308"/>
      <c r="E10" s="309"/>
      <c r="F10" s="308"/>
      <c r="G10" s="307"/>
      <c r="H10" s="307"/>
      <c r="I10" s="307"/>
      <c r="J10" s="307"/>
      <c r="K10" s="307"/>
      <c r="L10" s="307"/>
      <c r="M10" s="307"/>
      <c r="N10" s="307"/>
      <c r="O10" s="307"/>
      <c r="P10" s="671"/>
      <c r="Q10" s="427"/>
    </row>
    <row r="11" spans="1:23" s="173" customFormat="1" ht="3" customHeight="1">
      <c r="A11" s="427"/>
      <c r="B11" s="670"/>
      <c r="C11" s="305"/>
      <c r="D11" s="303"/>
      <c r="E11" s="304"/>
      <c r="F11" s="303"/>
      <c r="G11" s="305"/>
      <c r="H11" s="305"/>
      <c r="I11" s="305"/>
      <c r="J11" s="305"/>
      <c r="K11" s="305"/>
      <c r="L11" s="305"/>
      <c r="M11" s="305"/>
      <c r="N11" s="305"/>
      <c r="O11" s="305"/>
      <c r="P11" s="671"/>
      <c r="Q11" s="427"/>
    </row>
    <row r="12" spans="1:23" s="173" customFormat="1" ht="24.6" customHeight="1">
      <c r="A12" s="427"/>
      <c r="B12" s="670"/>
      <c r="C12" s="815"/>
      <c r="D12" s="815"/>
      <c r="E12" s="815"/>
      <c r="F12" s="815"/>
      <c r="G12" s="815"/>
      <c r="H12" s="731"/>
      <c r="I12" s="789"/>
      <c r="J12" s="310" t="s">
        <v>792</v>
      </c>
      <c r="K12" s="310"/>
      <c r="L12" s="310"/>
      <c r="M12" s="310"/>
      <c r="N12" s="310"/>
      <c r="O12" s="310"/>
      <c r="P12" s="790"/>
      <c r="Q12" s="427"/>
    </row>
    <row r="13" spans="1:23" s="173" customFormat="1" ht="17.45" customHeight="1">
      <c r="A13" s="427"/>
      <c r="B13" s="670"/>
      <c r="C13" s="303" t="s">
        <v>295</v>
      </c>
      <c r="D13" s="825" t="s">
        <v>349</v>
      </c>
      <c r="E13" s="825"/>
      <c r="F13" s="825"/>
      <c r="G13" s="825"/>
      <c r="H13" s="825"/>
      <c r="I13" s="825"/>
      <c r="J13" s="825"/>
      <c r="K13" s="662"/>
      <c r="L13" s="310" t="s">
        <v>247</v>
      </c>
      <c r="M13" s="310"/>
      <c r="N13" s="310" t="s">
        <v>246</v>
      </c>
      <c r="O13" s="310"/>
      <c r="P13" s="671"/>
      <c r="Q13" s="427"/>
      <c r="R13" s="372" t="s">
        <v>365</v>
      </c>
      <c r="T13" s="275" t="s">
        <v>348</v>
      </c>
      <c r="U13" s="275" t="s">
        <v>347</v>
      </c>
      <c r="W13" s="371" t="s">
        <v>357</v>
      </c>
    </row>
    <row r="14" spans="1:23" s="173" customFormat="1" ht="2.25" customHeight="1" thickBot="1">
      <c r="A14" s="427"/>
      <c r="B14" s="670"/>
      <c r="C14" s="303"/>
      <c r="D14" s="303"/>
      <c r="E14" s="303"/>
      <c r="F14" s="303"/>
      <c r="G14" s="303"/>
      <c r="H14" s="303"/>
      <c r="I14" s="303"/>
      <c r="J14" s="303"/>
      <c r="K14" s="303"/>
      <c r="L14" s="310"/>
      <c r="M14" s="310"/>
      <c r="N14" s="310"/>
      <c r="O14" s="310"/>
      <c r="P14" s="671"/>
      <c r="Q14" s="427"/>
      <c r="S14" s="273"/>
    </row>
    <row r="15" spans="1:23" s="173" customFormat="1">
      <c r="A15" s="427"/>
      <c r="B15" s="670"/>
      <c r="C15" s="311" t="s">
        <v>152</v>
      </c>
      <c r="D15" s="312"/>
      <c r="E15" s="727">
        <v>3</v>
      </c>
      <c r="F15" s="313"/>
      <c r="G15" s="506">
        <v>758.5</v>
      </c>
      <c r="H15" s="314"/>
      <c r="I15" s="315" t="str">
        <f>IF(Instructions!$D$34="million gallons (US)","MG/Yr",IF(Instructions!$D$34="Megalitres (thousand cubic metres)","ML/Yr",IF(Instructions!$D$34="acre-feet","acre-ft/yr","")))</f>
        <v>MG/Yr</v>
      </c>
      <c r="J15" s="727">
        <v>3</v>
      </c>
      <c r="K15" s="315"/>
      <c r="L15" s="539"/>
      <c r="M15" s="502"/>
      <c r="N15" s="823"/>
      <c r="O15" s="824"/>
      <c r="P15" s="674" t="str">
        <f>IF(Instructions!$D$34="million gallons (US)","MG/Yr",IF(Instructions!$D$34="Megalitres (thousand cubic metres)","ML/Yr",IF(Instructions!$D$34="acre-feet","acre-ft/yr","")))</f>
        <v>MG/Yr</v>
      </c>
      <c r="Q15" s="427"/>
      <c r="R15" s="531">
        <v>1</v>
      </c>
      <c r="S15" s="534">
        <f>IF(G15&gt;0,IF(R15=1,L15*G15,N15),0)</f>
        <v>0</v>
      </c>
      <c r="T15" s="535">
        <f>$T$19/$T$18*G15</f>
        <v>27.672151584705603</v>
      </c>
      <c r="U15" s="535">
        <f>$T$19/$T$18*ABS(S15)</f>
        <v>0</v>
      </c>
      <c r="V15" s="274"/>
    </row>
    <row r="16" spans="1:23" s="173" customFormat="1">
      <c r="A16" s="427"/>
      <c r="B16" s="670"/>
      <c r="C16" s="311" t="s">
        <v>6</v>
      </c>
      <c r="D16" s="303"/>
      <c r="E16" s="727">
        <v>3</v>
      </c>
      <c r="F16" s="313"/>
      <c r="G16" s="506">
        <v>121.619</v>
      </c>
      <c r="H16" s="314"/>
      <c r="I16" s="315" t="str">
        <f>IF(Instructions!$D$34="million gallons (US)","MG/Yr",IF(Instructions!$D$34="Megalitres (thousand cubic metres)","ML/Yr",IF(Instructions!$D$34="acre-feet","acre-ft/yr","")))</f>
        <v>MG/Yr</v>
      </c>
      <c r="J16" s="729">
        <v>5</v>
      </c>
      <c r="K16" s="315"/>
      <c r="L16" s="539"/>
      <c r="M16" s="502"/>
      <c r="N16" s="823"/>
      <c r="O16" s="824"/>
      <c r="P16" s="674" t="str">
        <f>IF(Instructions!$D$34="million gallons (US)","MG/Yr",IF(Instructions!$D$34="Megalitres (thousand cubic metres)","ML/Yr",IF(Instructions!$D$34="acre-feet","acre-ft/yr","")))</f>
        <v>MG/Yr</v>
      </c>
      <c r="Q16" s="427"/>
      <c r="R16" s="532">
        <v>1</v>
      </c>
      <c r="S16" s="534">
        <f>IF(G16&gt;0,IF(R16=1,L16*G16,N16),0)</f>
        <v>0</v>
      </c>
      <c r="T16" s="535">
        <f>$T$19/$T$18*G16</f>
        <v>4.4369932809232839</v>
      </c>
      <c r="U16" s="535">
        <f>$T$19/$T$18*ABS(S16)</f>
        <v>0</v>
      </c>
    </row>
    <row r="17" spans="1:28" s="173" customFormat="1" ht="13.15" customHeight="1" thickBot="1">
      <c r="A17" s="427"/>
      <c r="B17" s="670"/>
      <c r="C17" s="311" t="s">
        <v>7</v>
      </c>
      <c r="D17" s="303"/>
      <c r="E17" s="727">
        <v>3</v>
      </c>
      <c r="F17" s="313"/>
      <c r="G17" s="506">
        <v>79.239000000000004</v>
      </c>
      <c r="H17" s="314"/>
      <c r="I17" s="315" t="str">
        <f>IF(Instructions!$D$34="million gallons (US)","MG/Yr",IF(Instructions!$D$34="Megalitres (thousand cubic metres)","ML/Yr",IF(Instructions!$D$34="acre-feet","acre-ft/yr","")))</f>
        <v>MG/Yr</v>
      </c>
      <c r="J17" s="727">
        <v>5</v>
      </c>
      <c r="K17" s="315"/>
      <c r="L17" s="539"/>
      <c r="M17" s="503"/>
      <c r="N17" s="823"/>
      <c r="O17" s="824"/>
      <c r="P17" s="674" t="str">
        <f>IF(Instructions!$D$34="million gallons (US)","MG/Yr",IF(Instructions!$D$34="Megalitres (thousand cubic metres)","ML/Yr",IF(Instructions!$D$34="acre-feet","acre-ft/yr","")))</f>
        <v>MG/Yr</v>
      </c>
      <c r="Q17" s="427"/>
      <c r="R17" s="533">
        <v>1</v>
      </c>
      <c r="S17" s="534">
        <f>IF(G17&gt;0,IF(R17=1,L17*G17,N17),0)</f>
        <v>0</v>
      </c>
      <c r="T17" s="535">
        <f>$T$19/$T$18*G17</f>
        <v>2.8908551343711104</v>
      </c>
      <c r="U17" s="535">
        <f>$T$19/$T$18*ABS(S17)</f>
        <v>0</v>
      </c>
    </row>
    <row r="18" spans="1:28" s="173" customFormat="1" ht="14.45" customHeight="1">
      <c r="A18" s="427"/>
      <c r="B18" s="670"/>
      <c r="C18" s="316"/>
      <c r="D18" s="316"/>
      <c r="E18" s="317"/>
      <c r="F18" s="313"/>
      <c r="G18" s="504"/>
      <c r="H18" s="314"/>
      <c r="I18" s="310"/>
      <c r="J18" s="665" t="s">
        <v>334</v>
      </c>
      <c r="K18" s="310"/>
      <c r="L18" s="675"/>
      <c r="M18" s="305"/>
      <c r="N18" s="305"/>
      <c r="O18" s="305"/>
      <c r="P18" s="671"/>
      <c r="Q18" s="427"/>
      <c r="S18" s="536"/>
      <c r="T18" s="535">
        <f>G15+G16+G17+IF(G15&gt;0,ABS(S15),0)+IF(G16&gt;0,ABS(S16),0)+IF(G17&gt;0,(ABS(S17)),)</f>
        <v>959.35800000000006</v>
      </c>
      <c r="U18" s="537"/>
    </row>
    <row r="19" spans="1:28" s="173" customFormat="1" ht="15">
      <c r="A19" s="427"/>
      <c r="B19" s="670"/>
      <c r="C19" s="367" t="s">
        <v>294</v>
      </c>
      <c r="D19" s="318"/>
      <c r="E19" s="317"/>
      <c r="F19" s="313"/>
      <c r="G19" s="352">
        <f>IF(G15&gt;0,IF(R15=1,G15/(1+L15),G15-N15),0)+IF(G16&gt;0,IF(R16=1,G16/(1+L16),G16-N16),0)-IF(G17&gt;0,IF(R17=1,G17/(1+L17),G17-N17),0)</f>
        <v>800.88</v>
      </c>
      <c r="H19" s="319"/>
      <c r="I19" s="315" t="str">
        <f>IF(Instructions!$D$34="million gallons (US)","MG/Yr",IF(Instructions!$D$34="Megalitres (thousand cubic metres)","ML/Yr",IF(Instructions!$D$34="acre-feet","acre-ft/yr","")))</f>
        <v>MG/Yr</v>
      </c>
      <c r="J19" s="665" t="s">
        <v>335</v>
      </c>
      <c r="K19" s="315"/>
      <c r="L19" s="675"/>
      <c r="M19" s="305"/>
      <c r="N19" s="310"/>
      <c r="O19" s="665"/>
      <c r="P19" s="671"/>
      <c r="Q19" s="427"/>
      <c r="S19" s="538"/>
      <c r="T19" s="538">
        <f>GradingAssessment!D27</f>
        <v>35</v>
      </c>
      <c r="U19" s="538" t="s">
        <v>350</v>
      </c>
    </row>
    <row r="20" spans="1:28" s="173" customFormat="1" ht="5.25" customHeight="1">
      <c r="A20" s="427"/>
      <c r="B20" s="670"/>
      <c r="C20" s="320"/>
      <c r="D20" s="320"/>
      <c r="E20" s="321"/>
      <c r="F20" s="320"/>
      <c r="G20" s="307"/>
      <c r="H20" s="307"/>
      <c r="I20" s="307"/>
      <c r="J20" s="307"/>
      <c r="K20" s="307"/>
      <c r="L20" s="322"/>
      <c r="M20" s="322"/>
      <c r="N20" s="322"/>
      <c r="O20" s="307"/>
      <c r="P20" s="671"/>
      <c r="Q20" s="427"/>
    </row>
    <row r="21" spans="1:28" s="173" customFormat="1" ht="6" customHeight="1">
      <c r="A21" s="427"/>
      <c r="B21" s="670"/>
      <c r="C21" s="313"/>
      <c r="D21" s="313"/>
      <c r="E21" s="317" t="s">
        <v>31</v>
      </c>
      <c r="F21" s="313"/>
      <c r="G21" s="305"/>
      <c r="H21" s="305"/>
      <c r="I21" s="305"/>
      <c r="J21" s="305"/>
      <c r="K21" s="305"/>
      <c r="L21" s="310"/>
      <c r="M21" s="310"/>
      <c r="N21" s="310"/>
      <c r="O21" s="305"/>
      <c r="P21" s="671"/>
      <c r="Q21" s="427"/>
    </row>
    <row r="22" spans="1:28" s="173" customFormat="1">
      <c r="A22" s="427"/>
      <c r="B22" s="670"/>
      <c r="C22" s="303" t="s">
        <v>296</v>
      </c>
      <c r="D22" s="303"/>
      <c r="E22" s="323"/>
      <c r="F22" s="303"/>
      <c r="G22" s="303"/>
      <c r="H22" s="303"/>
      <c r="I22" s="303"/>
      <c r="J22" s="303"/>
      <c r="K22" s="303"/>
      <c r="L22" s="303"/>
      <c r="M22" s="303"/>
      <c r="N22" s="303"/>
      <c r="O22" s="303"/>
      <c r="P22" s="671"/>
      <c r="Q22" s="427"/>
    </row>
    <row r="23" spans="1:28" s="173" customFormat="1">
      <c r="A23" s="427"/>
      <c r="B23" s="670"/>
      <c r="C23" s="311" t="s">
        <v>153</v>
      </c>
      <c r="D23" s="316"/>
      <c r="E23" s="727">
        <v>5</v>
      </c>
      <c r="F23" s="313"/>
      <c r="G23" s="506">
        <v>747.88099999999997</v>
      </c>
      <c r="H23" s="314"/>
      <c r="I23" s="315" t="str">
        <f>IF(Instructions!$D$34="million gallons (US)","MG/Yr",IF(Instructions!$D$34="Megalitres (thousand cubic metres)","ML/Yr",IF(Instructions!$D$34="acre-feet","acre-ft/yr","")))</f>
        <v>MG/Yr</v>
      </c>
      <c r="J23" s="315"/>
      <c r="K23" s="315"/>
      <c r="L23" s="665"/>
      <c r="M23" s="305"/>
      <c r="N23" s="305"/>
      <c r="O23" s="305"/>
      <c r="P23" s="671"/>
      <c r="Q23" s="427"/>
      <c r="R23" s="212"/>
      <c r="S23" s="212"/>
      <c r="U23" s="519"/>
      <c r="V23" s="519"/>
      <c r="W23" s="519"/>
    </row>
    <row r="24" spans="1:28" s="173" customFormat="1">
      <c r="A24" s="427"/>
      <c r="B24" s="670"/>
      <c r="C24" s="311" t="s">
        <v>154</v>
      </c>
      <c r="D24" s="316"/>
      <c r="E24" s="727" t="s">
        <v>77</v>
      </c>
      <c r="F24" s="313"/>
      <c r="G24" s="506">
        <v>0</v>
      </c>
      <c r="H24" s="314"/>
      <c r="I24" s="315" t="str">
        <f>IF(Instructions!$D$34="million gallons (US)","MG/Yr",IF(Instructions!$D$34="Megalitres (thousand cubic metres)","ML/Yr",IF(Instructions!$D$34="acre-feet","acre-ft/yr","")))</f>
        <v>MG/Yr</v>
      </c>
      <c r="J24" s="315"/>
      <c r="K24" s="315"/>
      <c r="L24" s="665"/>
      <c r="M24" s="305"/>
      <c r="N24" s="311"/>
      <c r="O24" s="311"/>
      <c r="P24" s="671"/>
      <c r="Q24" s="427"/>
      <c r="R24" s="212"/>
      <c r="S24" s="212"/>
    </row>
    <row r="25" spans="1:28" s="173" customFormat="1" ht="13.15" customHeight="1">
      <c r="A25" s="427"/>
      <c r="B25" s="670"/>
      <c r="C25" s="311" t="s">
        <v>155</v>
      </c>
      <c r="D25" s="316"/>
      <c r="E25" s="727" t="s">
        <v>77</v>
      </c>
      <c r="F25" s="313"/>
      <c r="G25" s="506">
        <v>0</v>
      </c>
      <c r="H25" s="314"/>
      <c r="I25" s="315" t="str">
        <f>IF(Instructions!$D$34="million gallons (US)","MG/Yr",IF(Instructions!$D$34="Megalitres (thousand cubic metres)","ML/Yr",IF(Instructions!$D$34="acre-feet","acre-ft/yr","")))</f>
        <v>MG/Yr</v>
      </c>
      <c r="J25" s="315"/>
      <c r="K25" s="315"/>
      <c r="L25" s="310" t="s">
        <v>247</v>
      </c>
      <c r="M25" s="664"/>
      <c r="N25" s="305" t="s">
        <v>246</v>
      </c>
      <c r="O25" s="305"/>
      <c r="P25" s="671"/>
      <c r="Q25" s="427"/>
      <c r="R25" s="212"/>
      <c r="S25" s="212"/>
      <c r="AA25" s="527" t="s">
        <v>406</v>
      </c>
      <c r="AB25" s="528"/>
    </row>
    <row r="26" spans="1:28" s="173" customFormat="1" ht="15" customHeight="1">
      <c r="A26" s="427"/>
      <c r="B26" s="670"/>
      <c r="C26" s="311" t="s">
        <v>156</v>
      </c>
      <c r="D26" s="316"/>
      <c r="E26" s="727">
        <v>6</v>
      </c>
      <c r="F26" s="313"/>
      <c r="G26" s="507">
        <f>IF(OR(R26=1,AND(R26=2,N26=0)),L26*$G$19,N26)</f>
        <v>9.5722000000000005</v>
      </c>
      <c r="H26" s="314"/>
      <c r="I26" s="315" t="str">
        <f>IF(Instructions!$D$34="million gallons (US)","MG/Yr",IF(Instructions!$D$34="Megalitres (thousand cubic metres)","ML/Yr",IF(Instructions!$D$34="acre-feet","acre-ft/yr","")))</f>
        <v>MG/Yr</v>
      </c>
      <c r="J26" s="315"/>
      <c r="K26" s="315"/>
      <c r="L26" s="505">
        <v>1.2500000000000001E-2</v>
      </c>
      <c r="M26" s="502"/>
      <c r="N26" s="823">
        <f>(G19*0.0025+757*0.01)</f>
        <v>9.5722000000000005</v>
      </c>
      <c r="O26" s="824"/>
      <c r="P26" s="674" t="str">
        <f>IF(Instructions!$D$34="million gallons (US)","MG/Yr",IF(Instructions!$D$34="Megalitres (thousand cubic metres)","ML/Yr",IF(Instructions!$D$34="acre-feet","acre-ft/yr","")))</f>
        <v>MG/Yr</v>
      </c>
      <c r="Q26" s="427"/>
      <c r="R26" s="213">
        <v>2</v>
      </c>
      <c r="S26" s="212"/>
      <c r="T26" s="173" t="s">
        <v>354</v>
      </c>
      <c r="AA26" s="528"/>
      <c r="AB26" s="528"/>
    </row>
    <row r="27" spans="1:28" s="173" customFormat="1" ht="2.25" customHeight="1">
      <c r="A27" s="427"/>
      <c r="B27" s="670"/>
      <c r="C27" s="311"/>
      <c r="D27" s="311"/>
      <c r="E27" s="316"/>
      <c r="F27" s="316"/>
      <c r="G27" s="316"/>
      <c r="H27" s="316"/>
      <c r="I27" s="315"/>
      <c r="J27" s="315"/>
      <c r="K27" s="315"/>
      <c r="L27" s="315"/>
      <c r="M27" s="315"/>
      <c r="N27" s="315">
        <v>24061</v>
      </c>
      <c r="O27" s="315"/>
      <c r="P27" s="671"/>
      <c r="Q27" s="427"/>
      <c r="R27" s="214"/>
      <c r="S27" s="212"/>
      <c r="AA27" s="528"/>
      <c r="AB27" s="528"/>
    </row>
    <row r="28" spans="1:28" s="173" customFormat="1" ht="15" customHeight="1">
      <c r="A28" s="427"/>
      <c r="B28" s="670"/>
      <c r="C28" s="817" t="str">
        <f>IF(R26=1,"       Default option selected for Unbilled unmetered - a grading of 5 is applied but not displayed",IF(R26=2,IF(N26&gt;0.0125*G19,"               Unbilled Unmetered volume entered is greater than the recommended default value",IF(N26=0,"Enter a positive value, otherwise a default percentage of 1.25% (of billed metered) is applied and a grading of 5 is applied but not displayed",""))))</f>
        <v/>
      </c>
      <c r="D28" s="817"/>
      <c r="E28" s="817"/>
      <c r="F28" s="817"/>
      <c r="G28" s="817"/>
      <c r="H28" s="817"/>
      <c r="I28" s="817"/>
      <c r="J28" s="817"/>
      <c r="K28" s="817"/>
      <c r="L28" s="817"/>
      <c r="M28" s="315"/>
      <c r="N28" s="315"/>
      <c r="O28" s="315"/>
      <c r="P28" s="671"/>
      <c r="Q28" s="427"/>
      <c r="R28" s="214"/>
      <c r="S28" s="212"/>
      <c r="AA28" s="528"/>
      <c r="AB28" s="528"/>
    </row>
    <row r="29" spans="1:28" s="173" customFormat="1" ht="2.25" customHeight="1">
      <c r="A29" s="427"/>
      <c r="B29" s="670"/>
      <c r="C29" s="316"/>
      <c r="D29" s="316"/>
      <c r="E29" s="310"/>
      <c r="F29" s="324"/>
      <c r="G29" s="314"/>
      <c r="H29" s="314"/>
      <c r="I29" s="310"/>
      <c r="J29" s="310"/>
      <c r="K29" s="310"/>
      <c r="L29" s="305"/>
      <c r="M29" s="305"/>
      <c r="N29" s="664"/>
      <c r="O29" s="305"/>
      <c r="P29" s="671"/>
      <c r="Q29" s="427"/>
      <c r="R29" s="214"/>
      <c r="S29" s="212"/>
      <c r="AA29" s="528"/>
      <c r="AB29" s="528"/>
    </row>
    <row r="30" spans="1:28" s="173" customFormat="1" ht="15" customHeight="1">
      <c r="A30" s="427"/>
      <c r="B30" s="670"/>
      <c r="C30" s="367" t="s">
        <v>293</v>
      </c>
      <c r="D30" s="318"/>
      <c r="E30" s="325"/>
      <c r="F30" s="313"/>
      <c r="G30" s="509">
        <f>SUM(G23:G26)</f>
        <v>757.45319999999992</v>
      </c>
      <c r="H30" s="319"/>
      <c r="I30" s="315" t="str">
        <f>IF(Instructions!$D$34="million gallons (US)","MG/Yr",IF(Instructions!$D$34="Megalitres (thousand cubic metres)","ML/Yr",IF(Instructions!$D$34="acre-feet","acre-ft/yr","")))</f>
        <v>MG/Yr</v>
      </c>
      <c r="J30" s="315"/>
      <c r="K30" s="315"/>
      <c r="L30" s="305"/>
      <c r="M30" s="305"/>
      <c r="N30" s="665"/>
      <c r="O30" s="665"/>
      <c r="P30" s="671"/>
      <c r="Q30" s="427"/>
      <c r="R30" s="214"/>
      <c r="S30" s="212"/>
      <c r="AA30" s="528"/>
      <c r="AB30" s="528"/>
    </row>
    <row r="31" spans="1:28" s="173" customFormat="1" ht="2.25" customHeight="1">
      <c r="A31" s="427"/>
      <c r="B31" s="670"/>
      <c r="C31" s="316"/>
      <c r="D31" s="316"/>
      <c r="E31" s="676"/>
      <c r="F31" s="319"/>
      <c r="G31" s="305"/>
      <c r="H31" s="319"/>
      <c r="I31" s="328"/>
      <c r="J31" s="328"/>
      <c r="K31" s="328"/>
      <c r="L31" s="305"/>
      <c r="M31" s="305"/>
      <c r="N31" s="677"/>
      <c r="O31" s="665"/>
      <c r="P31" s="671"/>
      <c r="Q31" s="427"/>
      <c r="R31" s="214"/>
      <c r="S31" s="212"/>
      <c r="AA31" s="528"/>
      <c r="AB31" s="528"/>
    </row>
    <row r="32" spans="1:28" s="173" customFormat="1" ht="15" customHeight="1">
      <c r="A32" s="427"/>
      <c r="B32" s="670"/>
      <c r="C32" s="830" t="str">
        <f>IF(AND(G30&gt;=G19,(G30&lt;&gt;0)),"               Check input values; WATER SUPPLIED should be greater than AUTHORIZED CONSUMPTION","")</f>
        <v/>
      </c>
      <c r="D32" s="830"/>
      <c r="E32" s="830"/>
      <c r="F32" s="830"/>
      <c r="G32" s="830"/>
      <c r="H32" s="830"/>
      <c r="I32" s="830"/>
      <c r="J32" s="830"/>
      <c r="K32" s="830"/>
      <c r="L32" s="830"/>
      <c r="M32" s="305"/>
      <c r="N32" s="677"/>
      <c r="O32" s="665"/>
      <c r="P32" s="671"/>
      <c r="Q32" s="427"/>
      <c r="R32" s="214"/>
      <c r="S32" s="212"/>
      <c r="T32" s="173" t="s">
        <v>353</v>
      </c>
      <c r="AA32" s="528"/>
      <c r="AB32" s="528"/>
    </row>
    <row r="33" spans="1:28" s="173" customFormat="1" ht="3" customHeight="1">
      <c r="A33" s="427"/>
      <c r="B33" s="670"/>
      <c r="C33" s="320"/>
      <c r="D33" s="320"/>
      <c r="E33" s="326"/>
      <c r="F33" s="320"/>
      <c r="G33" s="307"/>
      <c r="H33" s="307"/>
      <c r="I33" s="307"/>
      <c r="J33" s="305"/>
      <c r="K33" s="305"/>
      <c r="L33" s="310"/>
      <c r="M33" s="310"/>
      <c r="N33" s="310"/>
      <c r="O33" s="305"/>
      <c r="P33" s="671"/>
      <c r="Q33" s="427"/>
      <c r="R33" s="214"/>
      <c r="S33" s="212"/>
      <c r="AA33" s="528"/>
      <c r="AB33" s="528"/>
    </row>
    <row r="34" spans="1:28" s="173" customFormat="1" ht="6" customHeight="1">
      <c r="A34" s="427"/>
      <c r="B34" s="670"/>
      <c r="C34" s="313"/>
      <c r="D34" s="313"/>
      <c r="E34" s="325"/>
      <c r="F34" s="313"/>
      <c r="G34" s="305"/>
      <c r="H34" s="305"/>
      <c r="I34" s="305"/>
      <c r="J34" s="305"/>
      <c r="K34" s="305"/>
      <c r="L34" s="310"/>
      <c r="M34" s="310"/>
      <c r="N34" s="310"/>
      <c r="O34" s="305"/>
      <c r="P34" s="671"/>
      <c r="Q34" s="427"/>
      <c r="R34" s="214"/>
      <c r="S34" s="212"/>
      <c r="AA34" s="528"/>
      <c r="AB34" s="528"/>
    </row>
    <row r="35" spans="1:28" s="173" customFormat="1" ht="15" customHeight="1">
      <c r="A35" s="427"/>
      <c r="B35" s="670"/>
      <c r="C35" s="303" t="s">
        <v>297</v>
      </c>
      <c r="D35" s="303"/>
      <c r="E35" s="325"/>
      <c r="F35" s="303"/>
      <c r="G35" s="509">
        <f>G19-G30</f>
        <v>43.426800000000071</v>
      </c>
      <c r="H35" s="305"/>
      <c r="I35" s="315" t="str">
        <f>IF(Instructions!$D$34="million gallons (US)","MG/Yr",IF(Instructions!$D$34="Megalitres (thousand cubic metres)","ML/Yr",IF(Instructions!$D$34="acre-feet","acre-ft/yr","")))</f>
        <v>MG/Yr</v>
      </c>
      <c r="J35" s="315"/>
      <c r="K35" s="315"/>
      <c r="L35" s="305"/>
      <c r="M35" s="844"/>
      <c r="N35" s="305"/>
      <c r="O35" s="305"/>
      <c r="P35" s="671"/>
      <c r="Q35" s="427"/>
      <c r="R35" s="214"/>
      <c r="S35" s="212"/>
      <c r="AA35" s="528"/>
      <c r="AB35" s="528"/>
    </row>
    <row r="36" spans="1:28" s="173" customFormat="1" ht="5.25" customHeight="1">
      <c r="A36" s="427"/>
      <c r="B36" s="670"/>
      <c r="C36" s="303"/>
      <c r="D36" s="303"/>
      <c r="E36" s="325"/>
      <c r="F36" s="303"/>
      <c r="G36" s="305"/>
      <c r="H36" s="305"/>
      <c r="I36" s="305"/>
      <c r="J36" s="305"/>
      <c r="K36" s="305"/>
      <c r="L36" s="305"/>
      <c r="M36" s="844"/>
      <c r="N36" s="305"/>
      <c r="O36" s="305"/>
      <c r="P36" s="671"/>
      <c r="Q36" s="427"/>
      <c r="R36" s="214"/>
      <c r="S36" s="212"/>
      <c r="AA36" s="528"/>
      <c r="AB36" s="528"/>
    </row>
    <row r="37" spans="1:28" s="173" customFormat="1">
      <c r="A37" s="427"/>
      <c r="B37" s="670"/>
      <c r="C37" s="327" t="s">
        <v>140</v>
      </c>
      <c r="D37" s="316"/>
      <c r="E37" s="325"/>
      <c r="F37" s="316"/>
      <c r="G37" s="305"/>
      <c r="H37" s="305"/>
      <c r="I37" s="328"/>
      <c r="J37" s="328"/>
      <c r="K37" s="328"/>
      <c r="L37" s="310" t="s">
        <v>247</v>
      </c>
      <c r="M37" s="664"/>
      <c r="N37" s="305" t="s">
        <v>246</v>
      </c>
      <c r="O37" s="305"/>
      <c r="P37" s="671"/>
      <c r="Q37" s="427"/>
      <c r="R37" s="214"/>
      <c r="S37" s="212"/>
      <c r="AA37" s="528"/>
      <c r="AB37" s="528"/>
    </row>
    <row r="38" spans="1:28" s="173" customFormat="1" ht="15" customHeight="1">
      <c r="A38" s="427"/>
      <c r="B38" s="670"/>
      <c r="C38" s="311" t="s">
        <v>157</v>
      </c>
      <c r="D38" s="316"/>
      <c r="E38" s="727"/>
      <c r="F38" s="316"/>
      <c r="G38" s="507">
        <f>IF(OR(R38=1,AND(R38=2,N38=0)),L38*$G$19,N38)</f>
        <v>2.0022000000000002</v>
      </c>
      <c r="H38" s="329"/>
      <c r="I38" s="315" t="str">
        <f>IF(Instructions!$D$34="million gallons (US)","MG/Yr",IF(Instructions!$D$34="Megalitres (thousand cubic metres)","ML/Yr",IF(Instructions!$D$34="acre-feet","acre-ft/yr","")))</f>
        <v>MG/Yr</v>
      </c>
      <c r="J38" s="315"/>
      <c r="K38" s="315"/>
      <c r="L38" s="505">
        <v>2.5000000000000001E-3</v>
      </c>
      <c r="M38" s="508"/>
      <c r="N38" s="823"/>
      <c r="O38" s="829"/>
      <c r="P38" s="674" t="str">
        <f>IF(Instructions!$D$34="million gallons (US)","MG/Yr",IF(Instructions!$D$34="Megalitres (thousand cubic metres)","ML/Yr",IF(Instructions!$D$34="acre-feet","acre-ft/yr","")))</f>
        <v>MG/Yr</v>
      </c>
      <c r="Q38" s="427"/>
      <c r="R38" s="213">
        <v>1</v>
      </c>
      <c r="S38" s="212"/>
      <c r="T38" s="173" t="s">
        <v>355</v>
      </c>
      <c r="AA38" s="528"/>
      <c r="AB38" s="528"/>
    </row>
    <row r="39" spans="1:28" s="173" customFormat="1" ht="2.25" customHeight="1">
      <c r="A39" s="427"/>
      <c r="B39" s="670"/>
      <c r="C39" s="305"/>
      <c r="D39" s="305"/>
      <c r="E39" s="305"/>
      <c r="F39" s="305"/>
      <c r="G39" s="305"/>
      <c r="H39" s="305"/>
      <c r="I39" s="305"/>
      <c r="J39" s="305"/>
      <c r="K39" s="305"/>
      <c r="L39" s="305"/>
      <c r="M39" s="314"/>
      <c r="N39" s="314"/>
      <c r="O39" s="305"/>
      <c r="P39" s="671"/>
      <c r="Q39" s="427"/>
      <c r="R39" s="213"/>
      <c r="S39" s="212"/>
      <c r="AA39" s="528"/>
      <c r="AB39" s="528"/>
    </row>
    <row r="40" spans="1:28" s="173" customFormat="1" ht="15" customHeight="1">
      <c r="A40" s="427"/>
      <c r="B40" s="670"/>
      <c r="C40" s="826" t="str">
        <f>IF(R38=1,"                Default option selected for unauthorized consumption - a grading of 5 is applied but not displayed                ",IF(R38=2,IF(N38&gt;0.0025*G19,"Unauthorized consumption volume entered is greater than the recommended default value",IF(N38=0,"Enter a positive value, otherwise a default percentage of 0.25% is applied and a grading of 5 is applied but not displayed",""))))</f>
        <v xml:space="preserve">                Default option selected for unauthorized consumption - a grading of 5 is applied but not displayed                </v>
      </c>
      <c r="D40" s="827"/>
      <c r="E40" s="827"/>
      <c r="F40" s="827"/>
      <c r="G40" s="827"/>
      <c r="H40" s="827"/>
      <c r="I40" s="827"/>
      <c r="J40" s="827"/>
      <c r="K40" s="827"/>
      <c r="L40" s="827"/>
      <c r="M40" s="314"/>
      <c r="N40" s="314"/>
      <c r="O40" s="305"/>
      <c r="P40" s="671"/>
      <c r="Q40" s="427"/>
      <c r="R40" s="213"/>
      <c r="S40" s="212"/>
      <c r="AA40" s="528"/>
      <c r="AB40" s="528"/>
    </row>
    <row r="41" spans="1:28" s="173" customFormat="1" ht="2.25" customHeight="1">
      <c r="A41" s="427"/>
      <c r="B41" s="670"/>
      <c r="C41" s="311"/>
      <c r="D41" s="316"/>
      <c r="E41" s="316"/>
      <c r="F41" s="316"/>
      <c r="G41" s="330"/>
      <c r="H41" s="316"/>
      <c r="I41" s="315"/>
      <c r="J41" s="315"/>
      <c r="K41" s="315"/>
      <c r="L41" s="305"/>
      <c r="M41" s="314"/>
      <c r="N41" s="314"/>
      <c r="O41" s="305"/>
      <c r="P41" s="671"/>
      <c r="Q41" s="427"/>
      <c r="R41" s="213"/>
      <c r="S41" s="212"/>
      <c r="AA41" s="528"/>
      <c r="AB41" s="528"/>
    </row>
    <row r="42" spans="1:28" s="173" customFormat="1" ht="15" customHeight="1">
      <c r="A42" s="427"/>
      <c r="B42" s="670"/>
      <c r="C42" s="311" t="s">
        <v>158</v>
      </c>
      <c r="D42" s="316"/>
      <c r="E42" s="728">
        <v>3</v>
      </c>
      <c r="F42" s="316"/>
      <c r="G42" s="510">
        <f>IF(R42=1,((G23+G25)/(1-L42))-(G23+G25),N42)</f>
        <v>7.5543535353535844</v>
      </c>
      <c r="H42" s="329"/>
      <c r="I42" s="315" t="str">
        <f>IF(Instructions!$D$34="million gallons (US)","MG/Yr",IF(Instructions!$D$34="Megalitres (thousand cubic metres)","ML/Yr",IF(Instructions!$D$34="acre-feet","acre-ft/yr","")))</f>
        <v>MG/Yr</v>
      </c>
      <c r="J42" s="315"/>
      <c r="K42" s="315"/>
      <c r="L42" s="511">
        <v>0.01</v>
      </c>
      <c r="M42" s="508"/>
      <c r="N42" s="837"/>
      <c r="O42" s="838"/>
      <c r="P42" s="674" t="str">
        <f>IF(Instructions!$D$34="million gallons (US)","MG/Yr",IF(Instructions!$D$34="Megalitres (thousand cubic metres)","ML/Yr",IF(Instructions!$D$34="acre-feet","acre-ft/yr","")))</f>
        <v>MG/Yr</v>
      </c>
      <c r="Q42" s="427"/>
      <c r="R42" s="213">
        <v>1</v>
      </c>
      <c r="S42" s="212"/>
      <c r="T42" s="173" t="s">
        <v>407</v>
      </c>
      <c r="AA42" s="528"/>
      <c r="AB42" s="528"/>
    </row>
    <row r="43" spans="1:28" s="173" customFormat="1">
      <c r="A43" s="427"/>
      <c r="B43" s="670"/>
      <c r="C43" s="311" t="s">
        <v>5</v>
      </c>
      <c r="D43" s="316"/>
      <c r="E43" s="727">
        <v>5</v>
      </c>
      <c r="F43" s="316"/>
      <c r="G43" s="512">
        <f>IF(R43=1,L43*$G$23,N43)</f>
        <v>1.8697025</v>
      </c>
      <c r="H43" s="329"/>
      <c r="I43" s="315" t="str">
        <f>IF(Instructions!$D$34="million gallons (US)","MG/Yr",IF(Instructions!$D$34="Megalitres (thousand cubic metres)","ML/Yr",IF(Instructions!$D$34="acre-feet","acre-ft/yr","")))</f>
        <v>MG/Yr</v>
      </c>
      <c r="J43" s="315"/>
      <c r="K43" s="315"/>
      <c r="L43" s="505">
        <v>2.5000000000000001E-3</v>
      </c>
      <c r="M43" s="508"/>
      <c r="N43" s="823"/>
      <c r="O43" s="829"/>
      <c r="P43" s="674" t="str">
        <f>IF(Instructions!$D$34="million gallons (US)","MG/Yr",IF(Instructions!$D$34="Megalitres (thousand cubic metres)","ML/Yr",IF(Instructions!$D$34="acre-feet","acre-ft/yr","")))</f>
        <v>MG/Yr</v>
      </c>
      <c r="Q43" s="427"/>
      <c r="R43" s="213">
        <v>1</v>
      </c>
      <c r="S43" s="212"/>
    </row>
    <row r="44" spans="1:28" s="173" customFormat="1" ht="2.25" customHeight="1">
      <c r="A44" s="427"/>
      <c r="B44" s="670"/>
      <c r="C44" s="311"/>
      <c r="D44" s="316"/>
      <c r="E44" s="316"/>
      <c r="F44" s="316"/>
      <c r="G44" s="316"/>
      <c r="H44" s="316"/>
      <c r="I44" s="316"/>
      <c r="J44" s="316"/>
      <c r="K44" s="316"/>
      <c r="L44" s="305"/>
      <c r="M44" s="314"/>
      <c r="N44" s="552"/>
      <c r="O44" s="552"/>
      <c r="P44" s="674"/>
      <c r="Q44" s="427"/>
      <c r="R44" s="214"/>
      <c r="S44" s="212"/>
    </row>
    <row r="45" spans="1:28" s="173" customFormat="1">
      <c r="A45" s="427"/>
      <c r="B45" s="670"/>
      <c r="C45" s="840" t="str">
        <f>IF(OR(G19=0,E43="n/a"),"",IF(OR(ISBLANK(G43),G43=0),"Systematic data handling errors are likely, please enter a positive, non-zero value; otherwise grade = 1 (not displayed)",IF(R43=1,"                   Default option selected for Systematic data handling errors - a grading of 5 is applied but not displayed","")))</f>
        <v xml:space="preserve">                   Default option selected for Systematic data handling errors - a grading of 5 is applied but not displayed</v>
      </c>
      <c r="D45" s="840"/>
      <c r="E45" s="840"/>
      <c r="F45" s="840"/>
      <c r="G45" s="840"/>
      <c r="H45" s="840"/>
      <c r="I45" s="840"/>
      <c r="J45" s="840"/>
      <c r="K45" s="840"/>
      <c r="L45" s="840"/>
      <c r="M45" s="314"/>
      <c r="N45" s="553"/>
      <c r="O45" s="553"/>
      <c r="P45" s="671"/>
      <c r="Q45" s="427"/>
      <c r="R45" s="214"/>
      <c r="S45" s="212"/>
    </row>
    <row r="46" spans="1:28" s="173" customFormat="1" ht="2.25" customHeight="1">
      <c r="A46" s="427"/>
      <c r="B46" s="670"/>
      <c r="C46" s="311"/>
      <c r="D46" s="316"/>
      <c r="E46" s="316"/>
      <c r="F46" s="316"/>
      <c r="G46" s="316"/>
      <c r="H46" s="316"/>
      <c r="I46" s="316"/>
      <c r="J46" s="316"/>
      <c r="K46" s="316"/>
      <c r="L46" s="305"/>
      <c r="M46" s="314"/>
      <c r="N46" s="553"/>
      <c r="O46" s="553"/>
      <c r="P46" s="671"/>
      <c r="Q46" s="427"/>
      <c r="R46" s="214"/>
      <c r="S46" s="212"/>
    </row>
    <row r="47" spans="1:28" s="173" customFormat="1" ht="15">
      <c r="A47" s="427"/>
      <c r="B47" s="670"/>
      <c r="C47" s="316" t="s">
        <v>116</v>
      </c>
      <c r="D47" s="316"/>
      <c r="E47" s="331"/>
      <c r="F47" s="316"/>
      <c r="G47" s="509">
        <f>G38+G42+G43</f>
        <v>11.426256035353585</v>
      </c>
      <c r="H47" s="316"/>
      <c r="I47" s="315" t="str">
        <f>IF(Instructions!$D$34="million gallons (US)","MG/Yr",IF(Instructions!$D$34="Megalitres (thousand cubic metres)","ML/Yr",IF(Instructions!$D$34="acre-feet","acre-ft/yr","")))</f>
        <v>MG/Yr</v>
      </c>
      <c r="J47" s="315"/>
      <c r="K47" s="315"/>
      <c r="L47" s="305"/>
      <c r="M47" s="305"/>
      <c r="N47" s="553"/>
      <c r="O47" s="553"/>
      <c r="P47" s="671"/>
      <c r="Q47" s="427"/>
    </row>
    <row r="48" spans="1:28" s="173" customFormat="1" ht="2.25" customHeight="1">
      <c r="A48" s="427"/>
      <c r="B48" s="670"/>
      <c r="C48" s="316"/>
      <c r="D48" s="332"/>
      <c r="E48" s="332"/>
      <c r="F48" s="332"/>
      <c r="G48" s="305"/>
      <c r="H48" s="332"/>
      <c r="I48" s="319"/>
      <c r="J48" s="319"/>
      <c r="K48" s="319"/>
      <c r="L48" s="314"/>
      <c r="M48" s="305"/>
      <c r="N48" s="553"/>
      <c r="O48" s="553"/>
      <c r="P48" s="671"/>
      <c r="Q48" s="427"/>
    </row>
    <row r="49" spans="1:17" s="173" customFormat="1" ht="15" customHeight="1">
      <c r="A49" s="427"/>
      <c r="B49" s="670"/>
      <c r="C49" s="828" t="str">
        <f>IF(AND(G47&gt;=G35,(G47&lt;&gt;0)),"Check input values; APPARENT LOSSES should be less than WATER LOSSES","")</f>
        <v/>
      </c>
      <c r="D49" s="828"/>
      <c r="E49" s="828"/>
      <c r="F49" s="828"/>
      <c r="G49" s="828"/>
      <c r="H49" s="828"/>
      <c r="I49" s="828"/>
      <c r="J49" s="828"/>
      <c r="K49" s="828"/>
      <c r="L49" s="828"/>
      <c r="M49" s="305"/>
      <c r="N49" s="553"/>
      <c r="O49" s="553"/>
      <c r="P49" s="671"/>
      <c r="Q49" s="427"/>
    </row>
    <row r="50" spans="1:17" s="173" customFormat="1" ht="2.25" customHeight="1">
      <c r="A50" s="427"/>
      <c r="B50" s="670"/>
      <c r="C50" s="316"/>
      <c r="D50" s="332"/>
      <c r="E50" s="333"/>
      <c r="F50" s="332"/>
      <c r="G50" s="305"/>
      <c r="H50" s="332"/>
      <c r="I50" s="319"/>
      <c r="J50" s="319"/>
      <c r="K50" s="319"/>
      <c r="L50" s="314"/>
      <c r="M50" s="305"/>
      <c r="N50" s="553"/>
      <c r="O50" s="553"/>
      <c r="P50" s="671"/>
      <c r="Q50" s="427"/>
    </row>
    <row r="51" spans="1:17" s="173" customFormat="1" ht="15" customHeight="1">
      <c r="A51" s="427"/>
      <c r="B51" s="670"/>
      <c r="C51" s="327" t="s">
        <v>78</v>
      </c>
      <c r="D51" s="332"/>
      <c r="E51" s="331"/>
      <c r="F51" s="332"/>
      <c r="G51" s="328"/>
      <c r="H51" s="305"/>
      <c r="I51" s="328"/>
      <c r="J51" s="328"/>
      <c r="K51" s="328"/>
      <c r="L51" s="305"/>
      <c r="M51" s="305"/>
      <c r="N51" s="553"/>
      <c r="O51" s="553"/>
      <c r="P51" s="671"/>
      <c r="Q51" s="427"/>
    </row>
    <row r="52" spans="1:17" s="173" customFormat="1" ht="15">
      <c r="A52" s="427"/>
      <c r="B52" s="670"/>
      <c r="C52" s="316" t="s">
        <v>146</v>
      </c>
      <c r="D52" s="332"/>
      <c r="E52" s="331"/>
      <c r="F52" s="332"/>
      <c r="G52" s="509">
        <f>G35-G47</f>
        <v>32.000543964646482</v>
      </c>
      <c r="H52" s="332"/>
      <c r="I52" s="315" t="str">
        <f>IF(Instructions!$D$34="million gallons (US)","MG/Yr",IF(Instructions!$D$34="Megalitres (thousand cubic metres)","ML/Yr",IF(Instructions!$D$34="acre-feet","acre-ft/yr","")))</f>
        <v>MG/Yr</v>
      </c>
      <c r="J52" s="315"/>
      <c r="K52" s="315"/>
      <c r="L52" s="305"/>
      <c r="M52" s="305"/>
      <c r="N52" s="314"/>
      <c r="O52" s="305"/>
      <c r="P52" s="671"/>
      <c r="Q52" s="427"/>
    </row>
    <row r="53" spans="1:17" s="173" customFormat="1" ht="6.75" customHeight="1">
      <c r="A53" s="427"/>
      <c r="B53" s="670"/>
      <c r="C53" s="316"/>
      <c r="D53" s="332"/>
      <c r="E53" s="331"/>
      <c r="F53" s="332"/>
      <c r="G53" s="319"/>
      <c r="H53" s="332"/>
      <c r="I53" s="310"/>
      <c r="J53" s="310"/>
      <c r="K53" s="310"/>
      <c r="L53" s="305"/>
      <c r="M53" s="305"/>
      <c r="N53" s="314"/>
      <c r="O53" s="305"/>
      <c r="P53" s="671"/>
      <c r="Q53" s="427"/>
    </row>
    <row r="54" spans="1:17" s="173" customFormat="1" ht="15">
      <c r="A54" s="427"/>
      <c r="B54" s="670"/>
      <c r="C54" s="367" t="s">
        <v>290</v>
      </c>
      <c r="D54" s="334"/>
      <c r="E54" s="331"/>
      <c r="F54" s="335"/>
      <c r="G54" s="509">
        <f>G47+G52</f>
        <v>43.426800000000071</v>
      </c>
      <c r="H54" s="314"/>
      <c r="I54" s="315" t="str">
        <f>IF(Instructions!$D$34="million gallons (US)","MG/Yr",IF(Instructions!$D$34="Megalitres (thousand cubic metres)","ML/Yr",IF(Instructions!$D$34="acre-feet","acre-ft/yr","")))</f>
        <v>MG/Yr</v>
      </c>
      <c r="J54" s="315"/>
      <c r="K54" s="315"/>
      <c r="L54" s="305"/>
      <c r="M54" s="305"/>
      <c r="N54" s="310"/>
      <c r="O54" s="665"/>
      <c r="P54" s="671"/>
      <c r="Q54" s="427"/>
    </row>
    <row r="55" spans="1:17" s="173" customFormat="1" ht="5.25" customHeight="1">
      <c r="A55" s="427"/>
      <c r="B55" s="670"/>
      <c r="C55" s="336"/>
      <c r="D55" s="337"/>
      <c r="E55" s="338"/>
      <c r="F55" s="337"/>
      <c r="G55" s="339"/>
      <c r="H55" s="339"/>
      <c r="I55" s="339"/>
      <c r="J55" s="339"/>
      <c r="K55" s="339"/>
      <c r="L55" s="322"/>
      <c r="M55" s="322"/>
      <c r="N55" s="322"/>
      <c r="O55" s="307"/>
      <c r="P55" s="671"/>
      <c r="Q55" s="427"/>
    </row>
    <row r="56" spans="1:17" s="173" customFormat="1" ht="6" customHeight="1">
      <c r="A56" s="427"/>
      <c r="B56" s="670"/>
      <c r="C56" s="316"/>
      <c r="D56" s="335"/>
      <c r="E56" s="340"/>
      <c r="F56" s="335"/>
      <c r="G56" s="314"/>
      <c r="H56" s="314"/>
      <c r="I56" s="314"/>
      <c r="J56" s="314"/>
      <c r="K56" s="314"/>
      <c r="L56" s="310"/>
      <c r="M56" s="310"/>
      <c r="N56" s="310"/>
      <c r="O56" s="305"/>
      <c r="P56" s="671"/>
      <c r="Q56" s="427"/>
    </row>
    <row r="57" spans="1:17" s="173" customFormat="1" ht="13.5" customHeight="1">
      <c r="A57" s="427"/>
      <c r="B57" s="670"/>
      <c r="C57" s="327" t="s">
        <v>22</v>
      </c>
      <c r="D57" s="332"/>
      <c r="E57" s="331"/>
      <c r="F57" s="332"/>
      <c r="G57" s="319"/>
      <c r="H57" s="332"/>
      <c r="I57" s="310"/>
      <c r="J57" s="310"/>
      <c r="K57" s="310"/>
      <c r="L57" s="305"/>
      <c r="M57" s="305"/>
      <c r="N57" s="314"/>
      <c r="O57" s="305"/>
      <c r="P57" s="671"/>
      <c r="Q57" s="427"/>
    </row>
    <row r="58" spans="1:17" s="173" customFormat="1" ht="13.5" customHeight="1">
      <c r="A58" s="427"/>
      <c r="B58" s="670"/>
      <c r="C58" s="368" t="s">
        <v>233</v>
      </c>
      <c r="D58" s="332"/>
      <c r="E58" s="331"/>
      <c r="F58" s="332"/>
      <c r="G58" s="509">
        <f>G35+G25+G26</f>
        <v>52.999000000000073</v>
      </c>
      <c r="H58" s="332"/>
      <c r="I58" s="315" t="str">
        <f>IF(Instructions!$D$34="million gallons (US)","MG/Yr",IF(Instructions!$D$34="Megalitres (thousand cubic metres)","ML/Yr",IF(Instructions!$D$34="acre-feet","acre-ft/yr","")))</f>
        <v>MG/Yr</v>
      </c>
      <c r="J58" s="315"/>
      <c r="K58" s="315"/>
      <c r="L58" s="305"/>
      <c r="M58" s="305"/>
      <c r="N58" s="314"/>
      <c r="O58" s="305"/>
      <c r="P58" s="671"/>
      <c r="Q58" s="427"/>
    </row>
    <row r="59" spans="1:17" s="173" customFormat="1" ht="13.5" customHeight="1">
      <c r="A59" s="427"/>
      <c r="B59" s="670"/>
      <c r="C59" s="341" t="s">
        <v>346</v>
      </c>
      <c r="D59" s="342"/>
      <c r="E59" s="342"/>
      <c r="F59" s="342"/>
      <c r="G59" s="342"/>
      <c r="H59" s="342"/>
      <c r="I59" s="342"/>
      <c r="J59" s="342"/>
      <c r="K59" s="342"/>
      <c r="L59" s="342"/>
      <c r="M59" s="342"/>
      <c r="N59" s="342"/>
      <c r="O59" s="342"/>
      <c r="P59" s="671"/>
      <c r="Q59" s="427"/>
    </row>
    <row r="60" spans="1:17" s="173" customFormat="1" ht="16.5" customHeight="1">
      <c r="A60" s="427"/>
      <c r="B60" s="670"/>
      <c r="C60" s="303" t="s">
        <v>195</v>
      </c>
      <c r="D60" s="303"/>
      <c r="E60" s="340"/>
      <c r="F60" s="303"/>
      <c r="G60" s="305"/>
      <c r="H60" s="305"/>
      <c r="I60" s="305"/>
      <c r="J60" s="305"/>
      <c r="K60" s="305"/>
      <c r="L60" s="305"/>
      <c r="M60" s="305"/>
      <c r="N60" s="305"/>
      <c r="O60" s="305"/>
      <c r="P60" s="671"/>
      <c r="Q60" s="427"/>
    </row>
    <row r="61" spans="1:17" s="173" customFormat="1" ht="5.25" customHeight="1">
      <c r="A61" s="427"/>
      <c r="B61" s="670"/>
      <c r="C61" s="303"/>
      <c r="D61" s="303"/>
      <c r="E61" s="340"/>
      <c r="F61" s="303"/>
      <c r="G61" s="305"/>
      <c r="H61" s="305"/>
      <c r="I61" s="305"/>
      <c r="J61" s="305"/>
      <c r="K61" s="305"/>
      <c r="L61" s="305"/>
      <c r="M61" s="305"/>
      <c r="N61" s="305"/>
      <c r="O61" s="305"/>
      <c r="P61" s="671"/>
      <c r="Q61" s="427"/>
    </row>
    <row r="62" spans="1:17" s="173" customFormat="1">
      <c r="A62" s="427"/>
      <c r="B62" s="670"/>
      <c r="C62" s="311" t="s">
        <v>159</v>
      </c>
      <c r="D62" s="303"/>
      <c r="E62" s="501">
        <v>8</v>
      </c>
      <c r="F62" s="303"/>
      <c r="G62" s="513">
        <v>82.9</v>
      </c>
      <c r="H62" s="343"/>
      <c r="I62" s="344" t="str">
        <f>IF(ISBLANK(Instructions!$D$34),"",IF(Instructions!$D$34="Megalitres (thousand cubic metres)","kilometers","miles"))</f>
        <v>miles</v>
      </c>
      <c r="J62" s="344"/>
      <c r="K62" s="344"/>
      <c r="L62" s="305"/>
      <c r="M62" s="305"/>
      <c r="N62" s="305"/>
      <c r="O62" s="305"/>
      <c r="P62" s="671"/>
      <c r="Q62" s="427"/>
    </row>
    <row r="63" spans="1:17" s="173" customFormat="1">
      <c r="A63" s="427"/>
      <c r="B63" s="670"/>
      <c r="C63" s="311" t="s">
        <v>336</v>
      </c>
      <c r="D63" s="303"/>
      <c r="E63" s="501">
        <v>9</v>
      </c>
      <c r="F63" s="303"/>
      <c r="G63" s="514">
        <v>6116</v>
      </c>
      <c r="H63" s="343"/>
      <c r="I63" s="328"/>
      <c r="J63" s="328"/>
      <c r="K63" s="328"/>
      <c r="L63" s="305"/>
      <c r="M63" s="305"/>
      <c r="N63" s="305"/>
      <c r="O63" s="305"/>
      <c r="P63" s="671"/>
      <c r="Q63" s="427"/>
    </row>
    <row r="64" spans="1:17" s="173" customFormat="1">
      <c r="A64" s="427"/>
      <c r="B64" s="670"/>
      <c r="C64" s="311" t="s">
        <v>443</v>
      </c>
      <c r="D64" s="303"/>
      <c r="E64" s="323"/>
      <c r="F64" s="303"/>
      <c r="G64" s="515">
        <f>IF(ISERROR(G63/G62),"",G63/G62)</f>
        <v>73.775633293124244</v>
      </c>
      <c r="H64" s="305"/>
      <c r="I64" s="344" t="str">
        <f>IF(ISBLANK(Instructions!$D$34),"",IF(Instructions!$D$34="Megalitres (thousand cubic metres)","conn./km","conn./mile")&amp; " main")</f>
        <v>conn./mile main</v>
      </c>
      <c r="J64" s="344"/>
      <c r="K64" s="344"/>
      <c r="L64" s="305"/>
      <c r="M64" s="305"/>
      <c r="N64" s="305"/>
      <c r="O64" s="305"/>
      <c r="P64" s="671"/>
      <c r="Q64" s="427"/>
    </row>
    <row r="65" spans="1:21" s="173" customFormat="1" ht="13.15" customHeight="1">
      <c r="A65" s="427"/>
      <c r="B65" s="670"/>
      <c r="C65" s="815" t="s">
        <v>413</v>
      </c>
      <c r="D65" s="303"/>
      <c r="E65" s="323"/>
      <c r="F65" s="323"/>
      <c r="G65" s="305"/>
      <c r="H65" s="305"/>
      <c r="I65" s="344"/>
      <c r="J65" s="344"/>
      <c r="K65" s="344"/>
      <c r="L65" s="305"/>
      <c r="M65" s="305"/>
      <c r="N65" s="305"/>
      <c r="O65" s="305"/>
      <c r="P65" s="671"/>
      <c r="Q65" s="427"/>
    </row>
    <row r="66" spans="1:21" s="173" customFormat="1" ht="13.15" customHeight="1">
      <c r="A66" s="427"/>
      <c r="B66" s="670"/>
      <c r="C66" s="815"/>
      <c r="D66" s="303"/>
      <c r="E66" s="323"/>
      <c r="F66" s="323"/>
      <c r="G66" s="516" t="s">
        <v>841</v>
      </c>
      <c r="H66" s="305"/>
      <c r="I66" s="344"/>
      <c r="J66" s="344"/>
      <c r="K66" s="344"/>
      <c r="L66" s="305"/>
      <c r="M66" s="305"/>
      <c r="N66" s="305"/>
      <c r="O66" s="305"/>
      <c r="P66" s="671"/>
      <c r="Q66" s="427"/>
      <c r="R66" s="242">
        <f>IF(G66="Yes",1,0)</f>
        <v>1</v>
      </c>
      <c r="S66" s="241" t="s">
        <v>343</v>
      </c>
      <c r="T66" s="241"/>
      <c r="U66" s="241"/>
    </row>
    <row r="67" spans="1:21" s="173" customFormat="1" ht="13.5" customHeight="1">
      <c r="A67" s="427"/>
      <c r="B67" s="670"/>
      <c r="C67" s="345" t="s">
        <v>337</v>
      </c>
      <c r="D67" s="303"/>
      <c r="E67" s="501"/>
      <c r="F67" s="303"/>
      <c r="G67" s="513"/>
      <c r="H67" s="303"/>
      <c r="I67" s="344" t="str">
        <f>IF(ISBLANK(Instructions!$D$34),"",IF(Instructions!D34="Megalitres (thousand cubic metres)","metres","ft"))</f>
        <v>ft</v>
      </c>
      <c r="J67" s="344"/>
      <c r="K67" s="344"/>
      <c r="L67" s="346"/>
      <c r="M67" s="346"/>
      <c r="N67" s="346"/>
      <c r="O67" s="346"/>
      <c r="P67" s="671"/>
      <c r="Q67" s="427"/>
      <c r="R67" s="242">
        <f>IF(G66="Yes",10,E67)</f>
        <v>10</v>
      </c>
      <c r="S67" s="241" t="s">
        <v>344</v>
      </c>
      <c r="T67" s="241"/>
      <c r="U67" s="241"/>
    </row>
    <row r="68" spans="1:21" s="173" customFormat="1" ht="14.45" customHeight="1">
      <c r="A68" s="427"/>
      <c r="B68" s="670"/>
      <c r="C68" s="827" t="str">
        <f>IF(G66="Yes","Average length of customer service line has been set to zero and a data grading score of 10 has been applied","")</f>
        <v>Average length of customer service line has been set to zero and a data grading score of 10 has been applied</v>
      </c>
      <c r="D68" s="827"/>
      <c r="E68" s="827"/>
      <c r="F68" s="827"/>
      <c r="G68" s="827"/>
      <c r="H68" s="827"/>
      <c r="I68" s="827"/>
      <c r="J68" s="827"/>
      <c r="K68" s="827"/>
      <c r="L68" s="827"/>
      <c r="M68" s="346"/>
      <c r="N68" s="346"/>
      <c r="O68" s="346"/>
      <c r="P68" s="671"/>
      <c r="Q68" s="427"/>
      <c r="R68" s="242">
        <f>IF(G66="Yes",0,G67)</f>
        <v>0</v>
      </c>
      <c r="S68" s="241" t="s">
        <v>345</v>
      </c>
      <c r="T68" s="241"/>
      <c r="U68" s="241"/>
    </row>
    <row r="69" spans="1:21" s="173" customFormat="1">
      <c r="A69" s="427"/>
      <c r="B69" s="670"/>
      <c r="C69" s="311" t="s">
        <v>160</v>
      </c>
      <c r="D69" s="303"/>
      <c r="E69" s="501">
        <v>5</v>
      </c>
      <c r="F69" s="303"/>
      <c r="G69" s="513">
        <v>72</v>
      </c>
      <c r="H69" s="347"/>
      <c r="I69" s="344" t="str">
        <f>IF(ISBLANK(Instructions!$D$34),"",IF(Instructions!D34="Megalitres (thousand cubic metres)","metres (head)","psi"))</f>
        <v>psi</v>
      </c>
      <c r="J69" s="344"/>
      <c r="K69" s="344"/>
      <c r="L69" s="305"/>
      <c r="M69" s="664"/>
      <c r="N69" s="305"/>
      <c r="O69" s="305"/>
      <c r="P69" s="671"/>
      <c r="Q69" s="427"/>
    </row>
    <row r="70" spans="1:21" s="173" customFormat="1" ht="3" customHeight="1">
      <c r="A70" s="427"/>
      <c r="B70" s="670"/>
      <c r="C70" s="311"/>
      <c r="D70" s="303"/>
      <c r="E70" s="303"/>
      <c r="F70" s="303"/>
      <c r="G70" s="303"/>
      <c r="H70" s="303"/>
      <c r="I70" s="344"/>
      <c r="J70" s="344"/>
      <c r="K70" s="344"/>
      <c r="L70" s="305"/>
      <c r="M70" s="664"/>
      <c r="N70" s="305"/>
      <c r="O70" s="305"/>
      <c r="P70" s="671"/>
      <c r="Q70" s="427"/>
    </row>
    <row r="71" spans="1:21" s="173" customFormat="1">
      <c r="A71" s="427"/>
      <c r="B71" s="670"/>
      <c r="C71" s="817" t="str">
        <f>IF(ISBLANK(G69),"",IF(OR(AND(R71=1,G69&lt;=25),AND(R71&lt;&gt;1,G69&lt;=40)),"Note: Average pressure this low will not allow for calculation of UARL",""))</f>
        <v/>
      </c>
      <c r="D71" s="817"/>
      <c r="E71" s="817"/>
      <c r="F71" s="817"/>
      <c r="G71" s="817"/>
      <c r="H71" s="817"/>
      <c r="I71" s="817"/>
      <c r="J71" s="817"/>
      <c r="K71" s="817"/>
      <c r="L71" s="817"/>
      <c r="M71" s="348"/>
      <c r="N71" s="305"/>
      <c r="O71" s="305"/>
      <c r="P71" s="671"/>
      <c r="Q71" s="427"/>
      <c r="R71" s="173">
        <f>IF(Instructions!D34="Megalitres (thousand cubic metres)",1,0)</f>
        <v>0</v>
      </c>
    </row>
    <row r="72" spans="1:21" s="173" customFormat="1" ht="2.25" customHeight="1">
      <c r="A72" s="427"/>
      <c r="B72" s="670"/>
      <c r="C72" s="308"/>
      <c r="D72" s="307"/>
      <c r="E72" s="307"/>
      <c r="F72" s="307"/>
      <c r="G72" s="307"/>
      <c r="H72" s="307"/>
      <c r="I72" s="307"/>
      <c r="J72" s="307"/>
      <c r="K72" s="307"/>
      <c r="L72" s="307"/>
      <c r="M72" s="307"/>
      <c r="N72" s="307"/>
      <c r="O72" s="307"/>
      <c r="P72" s="671"/>
      <c r="Q72" s="427"/>
    </row>
    <row r="73" spans="1:21" s="173" customFormat="1" ht="6" customHeight="1">
      <c r="A73" s="427"/>
      <c r="B73" s="670"/>
      <c r="C73" s="303"/>
      <c r="D73" s="303"/>
      <c r="E73" s="340"/>
      <c r="F73" s="303"/>
      <c r="G73" s="305"/>
      <c r="H73" s="305"/>
      <c r="I73" s="305"/>
      <c r="J73" s="305"/>
      <c r="K73" s="305"/>
      <c r="L73" s="305"/>
      <c r="M73" s="305"/>
      <c r="N73" s="305"/>
      <c r="O73" s="305"/>
      <c r="P73" s="671"/>
      <c r="Q73" s="427"/>
    </row>
    <row r="74" spans="1:21" s="173" customFormat="1" ht="13.5" customHeight="1">
      <c r="A74" s="427"/>
      <c r="B74" s="670"/>
      <c r="C74" s="303" t="s">
        <v>83</v>
      </c>
      <c r="D74" s="303"/>
      <c r="E74" s="340"/>
      <c r="F74" s="303"/>
      <c r="G74" s="349"/>
      <c r="H74" s="305"/>
      <c r="I74" s="305"/>
      <c r="J74" s="305"/>
      <c r="K74" s="305"/>
      <c r="L74" s="305"/>
      <c r="M74" s="305"/>
      <c r="N74" s="305"/>
      <c r="O74" s="305"/>
      <c r="P74" s="671"/>
      <c r="Q74" s="427"/>
    </row>
    <row r="75" spans="1:21" s="173" customFormat="1" ht="5.25" customHeight="1">
      <c r="A75" s="427"/>
      <c r="B75" s="670"/>
      <c r="C75" s="303"/>
      <c r="D75" s="303"/>
      <c r="E75" s="340"/>
      <c r="F75" s="303"/>
      <c r="G75" s="305"/>
      <c r="H75" s="305"/>
      <c r="I75" s="305"/>
      <c r="J75" s="305"/>
      <c r="K75" s="305"/>
      <c r="L75" s="305"/>
      <c r="M75" s="305"/>
      <c r="N75" s="305"/>
      <c r="O75" s="305"/>
      <c r="P75" s="671"/>
      <c r="Q75" s="427"/>
    </row>
    <row r="76" spans="1:21" s="173" customFormat="1" ht="14.25" customHeight="1">
      <c r="A76" s="427"/>
      <c r="B76" s="670"/>
      <c r="C76" s="311" t="s">
        <v>161</v>
      </c>
      <c r="D76" s="316"/>
      <c r="E76" s="501">
        <v>10</v>
      </c>
      <c r="F76" s="305"/>
      <c r="G76" s="517">
        <v>5948188</v>
      </c>
      <c r="H76" s="305"/>
      <c r="I76" s="344" t="s">
        <v>90</v>
      </c>
      <c r="J76" s="344"/>
      <c r="K76" s="344"/>
      <c r="L76" s="305"/>
      <c r="M76" s="305"/>
      <c r="N76" s="305"/>
      <c r="O76" s="305"/>
      <c r="P76" s="671"/>
      <c r="Q76" s="427"/>
    </row>
    <row r="77" spans="1:21" s="173" customFormat="1" ht="14.25" customHeight="1">
      <c r="A77" s="427"/>
      <c r="B77" s="670"/>
      <c r="C77" s="311" t="s">
        <v>150</v>
      </c>
      <c r="D77" s="316"/>
      <c r="E77" s="501">
        <v>9</v>
      </c>
      <c r="F77" s="305"/>
      <c r="G77" s="518">
        <v>4.04</v>
      </c>
      <c r="H77" s="305"/>
      <c r="I77" s="819" t="s">
        <v>30</v>
      </c>
      <c r="J77" s="820"/>
      <c r="K77" s="820"/>
      <c r="L77" s="821"/>
      <c r="M77" s="822"/>
      <c r="N77" s="839" t="str">
        <f>IF(AND(NOT(ISBLANK(G77)),ISBLANK(I77)),"&lt;--Enter units","")</f>
        <v/>
      </c>
      <c r="O77" s="839"/>
      <c r="P77" s="671"/>
      <c r="Q77" s="427"/>
      <c r="S77" s="519"/>
      <c r="T77" s="519"/>
      <c r="U77" s="519"/>
    </row>
    <row r="78" spans="1:21" s="173" customFormat="1" ht="13.5" customHeight="1">
      <c r="A78" s="427"/>
      <c r="B78" s="670"/>
      <c r="C78" s="311" t="s">
        <v>151</v>
      </c>
      <c r="D78" s="316"/>
      <c r="E78" s="501">
        <v>5</v>
      </c>
      <c r="F78" s="305"/>
      <c r="G78" s="518">
        <v>256.16000000000003</v>
      </c>
      <c r="H78" s="305"/>
      <c r="I78" s="315" t="str">
        <f>"$/"&amp;IF(Instructions!$D$34="million gallons (US)","Million gallons",IF(Instructions!$D$34="Megalitres (thousand cubic metres)","Megalitre",IF(Instructions!$D$34="acre-feet","acre-ft","")))</f>
        <v>$/Million gallons</v>
      </c>
      <c r="J78" s="315"/>
      <c r="K78" s="315"/>
      <c r="L78" s="305"/>
      <c r="M78" s="305"/>
      <c r="N78" s="349"/>
      <c r="O78" s="305"/>
      <c r="P78" s="671"/>
      <c r="Q78" s="427"/>
    </row>
    <row r="79" spans="1:21" s="173" customFormat="1" ht="2.25" customHeight="1">
      <c r="A79" s="427"/>
      <c r="B79" s="670"/>
      <c r="C79" s="303"/>
      <c r="D79" s="303"/>
      <c r="E79" s="350"/>
      <c r="F79" s="303"/>
      <c r="G79" s="305"/>
      <c r="H79" s="305"/>
      <c r="I79" s="305"/>
      <c r="J79" s="305"/>
      <c r="K79" s="305"/>
      <c r="L79" s="305"/>
      <c r="M79" s="305"/>
      <c r="N79" s="305"/>
      <c r="O79" s="305"/>
      <c r="P79" s="671"/>
      <c r="Q79" s="427"/>
    </row>
    <row r="80" spans="1:21" s="173" customFormat="1" ht="13.5" customHeight="1">
      <c r="A80" s="427"/>
      <c r="B80" s="670"/>
      <c r="C80" s="818" t="str">
        <f>IF(OR(ISBLANK(I77),ISBLANK(I78),ISBLANK(G78),ISBLANK(Instructions!D34)),"",IF(G77*INDEX(Sheet1!B2:D4,MATCH(Instructions!D34,Sheet1!A2:A4,0),MATCH(I77,Sheet1!B1:D1,0))/G78&gt;1,"","Retail costs are less than (or equal to) production costs; please review and correct if necessary"))</f>
        <v/>
      </c>
      <c r="D80" s="818"/>
      <c r="E80" s="818"/>
      <c r="F80" s="818"/>
      <c r="G80" s="818"/>
      <c r="H80" s="818"/>
      <c r="I80" s="818"/>
      <c r="J80" s="818"/>
      <c r="K80" s="818"/>
      <c r="L80" s="818"/>
      <c r="M80" s="818"/>
      <c r="N80" s="818"/>
      <c r="O80" s="305"/>
      <c r="P80" s="671"/>
      <c r="Q80" s="427"/>
      <c r="R80" s="173">
        <f>IF(OR(ISBLANK(I77),ISBLANK(I78),ISBLANK(G78)),"",IF(G77*INDEX(Sheet1!B2:D4,MATCH(Instructions!D34,Sheet1!A2:A4,0),MATCH(I77,Sheet1!B1:D1,0))/G78&gt;1,0,1))</f>
        <v>0</v>
      </c>
    </row>
    <row r="81" spans="1:18" s="173" customFormat="1" ht="2.25" customHeight="1">
      <c r="A81" s="427"/>
      <c r="B81" s="670"/>
      <c r="C81" s="308"/>
      <c r="D81" s="308"/>
      <c r="E81" s="309"/>
      <c r="F81" s="308"/>
      <c r="G81" s="307"/>
      <c r="H81" s="307"/>
      <c r="I81" s="307"/>
      <c r="J81" s="307"/>
      <c r="K81" s="307"/>
      <c r="L81" s="307"/>
      <c r="M81" s="307"/>
      <c r="N81" s="307"/>
      <c r="O81" s="307"/>
      <c r="P81" s="671"/>
      <c r="Q81" s="427"/>
    </row>
    <row r="82" spans="1:18" s="173" customFormat="1" ht="6" customHeight="1">
      <c r="A82" s="427"/>
      <c r="B82" s="670"/>
      <c r="C82" s="351"/>
      <c r="D82" s="303"/>
      <c r="E82" s="304"/>
      <c r="F82" s="303"/>
      <c r="G82" s="305"/>
      <c r="H82" s="305"/>
      <c r="I82" s="305"/>
      <c r="J82" s="305"/>
      <c r="K82" s="305"/>
      <c r="L82" s="305"/>
      <c r="M82" s="305"/>
      <c r="N82" s="305"/>
      <c r="O82" s="305"/>
      <c r="P82" s="671"/>
      <c r="Q82" s="427"/>
    </row>
    <row r="83" spans="1:18" s="243" customFormat="1" ht="21" customHeight="1">
      <c r="A83" s="522"/>
      <c r="B83" s="678"/>
      <c r="C83" s="226" t="s">
        <v>338</v>
      </c>
      <c r="D83" s="224"/>
      <c r="E83" s="225"/>
      <c r="F83" s="224"/>
      <c r="G83" s="224"/>
      <c r="H83" s="227"/>
      <c r="I83" s="227"/>
      <c r="J83" s="227"/>
      <c r="K83" s="227"/>
      <c r="L83" s="227"/>
      <c r="M83" s="228"/>
      <c r="N83" s="227"/>
      <c r="O83" s="227"/>
      <c r="P83" s="679"/>
      <c r="Q83" s="522"/>
    </row>
    <row r="84" spans="1:18" s="243" customFormat="1" ht="2.25" customHeight="1">
      <c r="A84" s="522"/>
      <c r="B84" s="678"/>
      <c r="C84" s="226"/>
      <c r="D84" s="224"/>
      <c r="E84" s="225"/>
      <c r="F84" s="224"/>
      <c r="G84" s="224"/>
      <c r="H84" s="227"/>
      <c r="I84" s="227"/>
      <c r="J84" s="227"/>
      <c r="K84" s="227"/>
      <c r="L84" s="227"/>
      <c r="M84" s="228"/>
      <c r="N84" s="227"/>
      <c r="O84" s="227"/>
      <c r="P84" s="679"/>
      <c r="Q84" s="522"/>
    </row>
    <row r="85" spans="1:18" s="244" customFormat="1" ht="22.5" customHeight="1">
      <c r="A85" s="523"/>
      <c r="B85" s="678"/>
      <c r="C85" s="831" t="str">
        <f>IF(ISERROR(GradingAssessment!M24),"",IF(GradingAssessment!M24&lt;=0,"*** YOUR SCORE IS: "&amp;ROUND(GradingAssessment!G24,0)&amp;" out of 100 ***",IF(GradingAssessment!M24&gt;0,"Add a grading value for "&amp;GradingAssessment!M24&amp;" parameter(s) to enable an audit score to be calculated")))</f>
        <v>*** YOUR SCORE IS: 51 out of 100 ***</v>
      </c>
      <c r="D85" s="832"/>
      <c r="E85" s="832"/>
      <c r="F85" s="832"/>
      <c r="G85" s="832"/>
      <c r="H85" s="832"/>
      <c r="I85" s="832"/>
      <c r="J85" s="832"/>
      <c r="K85" s="832"/>
      <c r="L85" s="832"/>
      <c r="M85" s="832"/>
      <c r="N85" s="832"/>
      <c r="O85" s="833"/>
      <c r="P85" s="680"/>
      <c r="Q85" s="523"/>
      <c r="R85" s="272">
        <f>GradingAssessment!M24</f>
        <v>0</v>
      </c>
    </row>
    <row r="86" spans="1:18" s="244" customFormat="1" ht="2.25" customHeight="1">
      <c r="A86" s="523"/>
      <c r="B86" s="678"/>
      <c r="C86" s="663"/>
      <c r="D86" s="229"/>
      <c r="E86" s="225"/>
      <c r="F86" s="230"/>
      <c r="G86" s="229"/>
      <c r="H86" s="231"/>
      <c r="I86" s="231"/>
      <c r="J86" s="231"/>
      <c r="K86" s="231"/>
      <c r="L86" s="231"/>
      <c r="M86" s="232"/>
      <c r="N86" s="231"/>
      <c r="O86" s="231"/>
      <c r="P86" s="680"/>
      <c r="Q86" s="523"/>
      <c r="R86" s="272"/>
    </row>
    <row r="87" spans="1:18" s="244" customFormat="1" ht="19.5" customHeight="1">
      <c r="A87" s="523"/>
      <c r="B87" s="678"/>
      <c r="C87" s="834" t="str">
        <f>IF(ISERROR(GradingAssessment!M24),"",IF(GradingAssessment!M24&lt;=0,"A weighted scale for the components of consumption and water loss is included in the calculation of the Water Audit Data Validity Score",""))</f>
        <v>A weighted scale for the components of consumption and water loss is included in the calculation of the Water Audit Data Validity Score</v>
      </c>
      <c r="D87" s="834"/>
      <c r="E87" s="834"/>
      <c r="F87" s="834"/>
      <c r="G87" s="834"/>
      <c r="H87" s="834"/>
      <c r="I87" s="834"/>
      <c r="J87" s="834"/>
      <c r="K87" s="834"/>
      <c r="L87" s="834"/>
      <c r="M87" s="834"/>
      <c r="N87" s="834"/>
      <c r="O87" s="834"/>
      <c r="P87" s="680"/>
      <c r="Q87" s="523"/>
      <c r="R87" s="272"/>
    </row>
    <row r="88" spans="1:18" s="238" customFormat="1" ht="21.75" customHeight="1">
      <c r="A88" s="524"/>
      <c r="B88" s="678"/>
      <c r="C88" s="246" t="s">
        <v>339</v>
      </c>
      <c r="D88" s="835"/>
      <c r="E88" s="836"/>
      <c r="F88" s="836"/>
      <c r="G88" s="836"/>
      <c r="H88" s="836"/>
      <c r="I88" s="836"/>
      <c r="J88" s="836"/>
      <c r="K88" s="836"/>
      <c r="L88" s="836"/>
      <c r="M88" s="836"/>
      <c r="N88" s="836"/>
      <c r="O88" s="836"/>
      <c r="P88" s="681"/>
      <c r="Q88" s="524"/>
    </row>
    <row r="89" spans="1:18" s="238" customFormat="1" ht="19.5" customHeight="1">
      <c r="A89" s="524"/>
      <c r="B89" s="678"/>
      <c r="C89" s="816" t="s">
        <v>283</v>
      </c>
      <c r="D89" s="816"/>
      <c r="E89" s="816"/>
      <c r="F89" s="816"/>
      <c r="G89" s="816"/>
      <c r="H89" s="816"/>
      <c r="I89" s="816"/>
      <c r="J89" s="816"/>
      <c r="K89" s="816"/>
      <c r="L89" s="816"/>
      <c r="M89" s="816"/>
      <c r="N89" s="816"/>
      <c r="O89" s="816"/>
      <c r="P89" s="681"/>
      <c r="Q89" s="524"/>
    </row>
    <row r="90" spans="1:18" s="238" customFormat="1" ht="15" customHeight="1">
      <c r="A90" s="524"/>
      <c r="B90" s="678"/>
      <c r="C90" s="233" t="str">
        <f ca="1">IF(ISERROR(GradingAssessment!M24),"","     1: "&amp;VLOOKUP(1,GradingAssessment!$I$4:$J$23,2,FALSE))</f>
        <v xml:space="preserve">     1: Volume from own sources</v>
      </c>
      <c r="D90" s="221"/>
      <c r="E90" s="222"/>
      <c r="F90" s="221"/>
      <c r="G90" s="223"/>
      <c r="H90" s="223"/>
      <c r="I90" s="223"/>
      <c r="J90" s="223"/>
      <c r="K90" s="223"/>
      <c r="L90" s="223"/>
      <c r="M90" s="223"/>
      <c r="N90" s="223"/>
      <c r="O90" s="223"/>
      <c r="P90" s="681"/>
      <c r="Q90" s="524"/>
    </row>
    <row r="91" spans="1:18" s="238" customFormat="1" ht="5.25" customHeight="1">
      <c r="A91" s="524"/>
      <c r="B91" s="678"/>
      <c r="C91" s="234"/>
      <c r="D91" s="221"/>
      <c r="E91" s="222"/>
      <c r="F91" s="221"/>
      <c r="G91" s="223"/>
      <c r="H91" s="223"/>
      <c r="I91" s="223"/>
      <c r="J91" s="223"/>
      <c r="K91" s="223"/>
      <c r="L91" s="223"/>
      <c r="M91" s="223"/>
      <c r="N91" s="223"/>
      <c r="O91" s="223"/>
      <c r="P91" s="681"/>
      <c r="Q91" s="524"/>
    </row>
    <row r="92" spans="1:18" s="238" customFormat="1" ht="15" customHeight="1">
      <c r="A92" s="524"/>
      <c r="B92" s="678"/>
      <c r="C92" s="233" t="str">
        <f ca="1">IF(ISERROR(GradingAssessment!M24),"","     2: "&amp;VLOOKUP(2,GradingAssessment!$I$4:$J$23,2,FALSE))</f>
        <v xml:space="preserve">     2: Customer metering inaccuracies</v>
      </c>
      <c r="D92" s="221"/>
      <c r="E92" s="222"/>
      <c r="F92" s="221"/>
      <c r="G92" s="223"/>
      <c r="H92" s="223"/>
      <c r="I92" s="223"/>
      <c r="J92" s="223"/>
      <c r="K92" s="223"/>
      <c r="L92" s="223"/>
      <c r="M92" s="223"/>
      <c r="N92" s="223"/>
      <c r="O92" s="223"/>
      <c r="P92" s="681"/>
      <c r="Q92" s="524"/>
    </row>
    <row r="93" spans="1:18" s="238" customFormat="1" ht="5.25" customHeight="1">
      <c r="A93" s="524"/>
      <c r="B93" s="678"/>
      <c r="C93" s="234"/>
      <c r="D93" s="221"/>
      <c r="E93" s="222"/>
      <c r="F93" s="221"/>
      <c r="G93" s="223"/>
      <c r="H93" s="223"/>
      <c r="I93" s="223"/>
      <c r="J93" s="223"/>
      <c r="K93" s="223"/>
      <c r="L93" s="223"/>
      <c r="M93" s="223"/>
      <c r="N93" s="223"/>
      <c r="O93" s="223"/>
      <c r="P93" s="681"/>
      <c r="Q93" s="524"/>
    </row>
    <row r="94" spans="1:18" s="238" customFormat="1" ht="15" customHeight="1">
      <c r="A94" s="524"/>
      <c r="B94" s="678"/>
      <c r="C94" s="233" t="str">
        <f ca="1">IF(ISERROR(GradingAssessment!M24),"","     3: "&amp;VLOOKUP(3,GradingAssessment!$I$4:$J$23,2,FALSE))</f>
        <v xml:space="preserve">     3: Billed metered</v>
      </c>
      <c r="D94" s="221"/>
      <c r="E94" s="222"/>
      <c r="F94" s="221"/>
      <c r="G94" s="223"/>
      <c r="H94" s="223"/>
      <c r="I94" s="223"/>
      <c r="J94" s="223"/>
      <c r="K94" s="223"/>
      <c r="L94" s="223"/>
      <c r="M94" s="223"/>
      <c r="N94" s="223"/>
      <c r="O94" s="223"/>
      <c r="P94" s="681"/>
      <c r="Q94" s="524"/>
    </row>
    <row r="95" spans="1:18" s="238" customFormat="1" ht="14.25" customHeight="1" thickBot="1">
      <c r="A95" s="524"/>
      <c r="B95" s="682"/>
      <c r="C95" s="683"/>
      <c r="D95" s="684"/>
      <c r="E95" s="685"/>
      <c r="F95" s="684"/>
      <c r="G95" s="686"/>
      <c r="H95" s="686"/>
      <c r="I95" s="686"/>
      <c r="J95" s="686"/>
      <c r="K95" s="686"/>
      <c r="L95" s="686"/>
      <c r="M95" s="686"/>
      <c r="N95" s="686"/>
      <c r="O95" s="686"/>
      <c r="P95" s="687"/>
      <c r="Q95" s="524"/>
    </row>
    <row r="96" spans="1:18" s="245" customFormat="1" ht="6.6" customHeight="1" thickTop="1">
      <c r="A96" s="525"/>
      <c r="B96" s="525"/>
      <c r="C96" s="525"/>
      <c r="D96" s="525"/>
      <c r="E96" s="529"/>
      <c r="F96" s="525"/>
      <c r="G96" s="525"/>
      <c r="H96" s="525"/>
      <c r="I96" s="525"/>
      <c r="J96" s="525"/>
      <c r="K96" s="525"/>
      <c r="L96" s="525"/>
      <c r="M96" s="525"/>
      <c r="N96" s="525"/>
      <c r="O96" s="525"/>
      <c r="P96" s="525"/>
      <c r="Q96" s="525"/>
    </row>
    <row r="97" spans="1:17" s="245" customFormat="1" ht="16.5" hidden="1">
      <c r="A97" s="525"/>
      <c r="B97" s="223"/>
      <c r="C97" s="223"/>
      <c r="D97" s="223"/>
      <c r="E97" s="235"/>
      <c r="F97" s="223"/>
      <c r="G97" s="223"/>
      <c r="H97" s="223"/>
      <c r="I97" s="223"/>
      <c r="J97" s="223"/>
      <c r="K97" s="223"/>
      <c r="L97" s="223"/>
      <c r="M97" s="223"/>
      <c r="N97" s="223"/>
      <c r="O97" s="223"/>
      <c r="P97" s="223"/>
      <c r="Q97" s="525"/>
    </row>
    <row r="98" spans="1:17" s="245" customFormat="1" ht="16.5" hidden="1">
      <c r="A98" s="525"/>
      <c r="B98" s="223"/>
      <c r="C98" s="223"/>
      <c r="D98" s="223"/>
      <c r="E98" s="235"/>
      <c r="F98" s="223"/>
      <c r="G98" s="223"/>
      <c r="H98" s="223"/>
      <c r="I98" s="223"/>
      <c r="J98" s="223"/>
      <c r="K98" s="223"/>
      <c r="L98" s="223"/>
      <c r="M98" s="223"/>
      <c r="N98" s="223"/>
      <c r="O98" s="223"/>
      <c r="P98" s="223"/>
      <c r="Q98" s="525"/>
    </row>
    <row r="99" spans="1:17" s="245" customFormat="1" ht="16.5" hidden="1">
      <c r="A99" s="525"/>
      <c r="B99" s="223"/>
      <c r="C99" s="223"/>
      <c r="D99" s="223"/>
      <c r="E99" s="235"/>
      <c r="F99" s="223"/>
      <c r="G99" s="223"/>
      <c r="H99" s="223"/>
      <c r="I99" s="223"/>
      <c r="J99" s="223"/>
      <c r="K99" s="223"/>
      <c r="L99" s="223"/>
      <c r="M99" s="223"/>
      <c r="N99" s="223"/>
      <c r="O99" s="223"/>
      <c r="P99" s="223"/>
      <c r="Q99" s="525"/>
    </row>
    <row r="100" spans="1:17" hidden="1">
      <c r="G100" s="216"/>
      <c r="H100" s="216"/>
      <c r="I100" s="216"/>
      <c r="J100" s="216"/>
      <c r="K100" s="216"/>
    </row>
    <row r="101" spans="1:17" hidden="1"/>
    <row r="102" spans="1:17" hidden="1"/>
    <row r="103" spans="1:17" hidden="1"/>
    <row r="104" spans="1:17" hidden="1"/>
    <row r="105" spans="1:17" hidden="1"/>
    <row r="106" spans="1:17" hidden="1"/>
    <row r="107" spans="1:17" hidden="1"/>
    <row r="108" spans="1:17" hidden="1"/>
    <row r="109" spans="1:17" hidden="1"/>
    <row r="110" spans="1:17" hidden="1"/>
    <row r="111" spans="1:17" hidden="1"/>
    <row r="112" spans="1: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t="15" hidden="1" customHeight="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password="8B16" sheet="1" objects="1" scenarios="1"/>
  <mergeCells count="30">
    <mergeCell ref="B2:P2"/>
    <mergeCell ref="C28:L28"/>
    <mergeCell ref="M35:M36"/>
    <mergeCell ref="N26:O26"/>
    <mergeCell ref="C7:O8"/>
    <mergeCell ref="D5:E5"/>
    <mergeCell ref="G5:H5"/>
    <mergeCell ref="D4:M4"/>
    <mergeCell ref="N77:O77"/>
    <mergeCell ref="N38:O38"/>
    <mergeCell ref="N17:O17"/>
    <mergeCell ref="C45:L45"/>
    <mergeCell ref="C68:L68"/>
    <mergeCell ref="C65:C66"/>
    <mergeCell ref="C12:G12"/>
    <mergeCell ref="C89:O89"/>
    <mergeCell ref="C71:L71"/>
    <mergeCell ref="C80:N80"/>
    <mergeCell ref="I77:M77"/>
    <mergeCell ref="N16:O16"/>
    <mergeCell ref="D13:J13"/>
    <mergeCell ref="C40:L40"/>
    <mergeCell ref="C49:L49"/>
    <mergeCell ref="N43:O43"/>
    <mergeCell ref="C32:L32"/>
    <mergeCell ref="C85:O85"/>
    <mergeCell ref="C87:O87"/>
    <mergeCell ref="D88:O88"/>
    <mergeCell ref="N15:O15"/>
    <mergeCell ref="N42:O42"/>
  </mergeCells>
  <phoneticPr fontId="0" type="noConversion"/>
  <conditionalFormatting sqref="L9:O9 C9:F9">
    <cfRule type="expression" dxfId="121" priority="67" stopIfTrue="1">
      <formula>E15=""=TRUE</formula>
    </cfRule>
  </conditionalFormatting>
  <conditionalFormatting sqref="N38">
    <cfRule type="expression" dxfId="120" priority="80" stopIfTrue="1">
      <formula>$R$38=1</formula>
    </cfRule>
  </conditionalFormatting>
  <conditionalFormatting sqref="N42:O42">
    <cfRule type="expression" dxfId="119" priority="81" stopIfTrue="1">
      <formula>$R$42=1</formula>
    </cfRule>
  </conditionalFormatting>
  <conditionalFormatting sqref="L38">
    <cfRule type="expression" dxfId="118" priority="82" stopIfTrue="1">
      <formula>$R$38=2</formula>
    </cfRule>
  </conditionalFormatting>
  <conditionalFormatting sqref="G41">
    <cfRule type="expression" dxfId="117" priority="83" stopIfTrue="1">
      <formula>$R$38=2</formula>
    </cfRule>
  </conditionalFormatting>
  <conditionalFormatting sqref="F29">
    <cfRule type="expression" dxfId="116" priority="84" stopIfTrue="1">
      <formula>$R$26=2</formula>
    </cfRule>
  </conditionalFormatting>
  <conditionalFormatting sqref="N26">
    <cfRule type="expression" dxfId="115" priority="85" stopIfTrue="1">
      <formula>$R$26=1</formula>
    </cfRule>
  </conditionalFormatting>
  <conditionalFormatting sqref="L26">
    <cfRule type="expression" dxfId="114" priority="86" stopIfTrue="1">
      <formula>$R$26=2</formula>
    </cfRule>
  </conditionalFormatting>
  <conditionalFormatting sqref="C49:L49">
    <cfRule type="expression" dxfId="113" priority="87" stopIfTrue="1">
      <formula>AND($G$47&gt;=$G$35,($G$47&lt;&gt;0))</formula>
    </cfRule>
  </conditionalFormatting>
  <conditionalFormatting sqref="C71:L71">
    <cfRule type="expression" dxfId="112" priority="88" stopIfTrue="1">
      <formula>OR(AND(NOT(ISBLANK($G$69)),$R$71=1,$G$69&lt;=25),AND(NOT(ISBLANK($G$69)),$R$71&lt;&gt;1,$G$69&lt;=40))</formula>
    </cfRule>
  </conditionalFormatting>
  <conditionalFormatting sqref="C80:N80">
    <cfRule type="expression" dxfId="111" priority="89" stopIfTrue="1">
      <formula>$R$80=1</formula>
    </cfRule>
  </conditionalFormatting>
  <conditionalFormatting sqref="C28:L28">
    <cfRule type="expression" dxfId="110" priority="90" stopIfTrue="1">
      <formula>AND($R$26=2,$N$26&gt;0.125*$G$19)</formula>
    </cfRule>
    <cfRule type="expression" dxfId="109" priority="91" stopIfTrue="1">
      <formula>$R$26=1</formula>
    </cfRule>
    <cfRule type="expression" dxfId="108" priority="92" stopIfTrue="1">
      <formula>AND($R$26=2,$N$26=0)</formula>
    </cfRule>
  </conditionalFormatting>
  <conditionalFormatting sqref="C40:L40">
    <cfRule type="expression" dxfId="107" priority="93" stopIfTrue="1">
      <formula>AND($R$38=2,$N$38&gt;0.025*$G$19)</formula>
    </cfRule>
    <cfRule type="expression" dxfId="106" priority="94" stopIfTrue="1">
      <formula>OR($R$38=1,AND($R38=2,N38=0))</formula>
    </cfRule>
  </conditionalFormatting>
  <conditionalFormatting sqref="N77:O77">
    <cfRule type="expression" dxfId="105" priority="96" stopIfTrue="1">
      <formula>AND(NOT(ISBLANK($G$77)),ISBLANK($I$77))</formula>
    </cfRule>
  </conditionalFormatting>
  <conditionalFormatting sqref="L42">
    <cfRule type="expression" dxfId="104" priority="100" stopIfTrue="1">
      <formula>$R$42=2</formula>
    </cfRule>
    <cfRule type="expression" dxfId="103" priority="101" stopIfTrue="1">
      <formula>AND($R$42=1,ISBLANK(L42))</formula>
    </cfRule>
  </conditionalFormatting>
  <conditionalFormatting sqref="C45:L45">
    <cfRule type="expression" dxfId="102" priority="7" stopIfTrue="1">
      <formula>$R$43=1</formula>
    </cfRule>
    <cfRule type="expression" dxfId="101" priority="108" stopIfTrue="1">
      <formula>AND(NOT($E$43="n/a"),OR(ISBLANK($G$43),$G$43=0),$G$19&lt;&gt;0)</formula>
    </cfRule>
  </conditionalFormatting>
  <conditionalFormatting sqref="K9">
    <cfRule type="expression" dxfId="100" priority="111" stopIfTrue="1">
      <formula>N15=""=TRUE</formula>
    </cfRule>
  </conditionalFormatting>
  <conditionalFormatting sqref="H9:J9">
    <cfRule type="expression" dxfId="99" priority="114" stopIfTrue="1">
      <formula>L15=""=TRUE</formula>
    </cfRule>
  </conditionalFormatting>
  <conditionalFormatting sqref="L17">
    <cfRule type="expression" dxfId="98" priority="53" stopIfTrue="1">
      <formula>R17=2</formula>
    </cfRule>
  </conditionalFormatting>
  <conditionalFormatting sqref="N17:O17">
    <cfRule type="expression" dxfId="97" priority="52" stopIfTrue="1">
      <formula>$R$17=1</formula>
    </cfRule>
  </conditionalFormatting>
  <conditionalFormatting sqref="L16">
    <cfRule type="expression" dxfId="96" priority="51" stopIfTrue="1">
      <formula>R16=2</formula>
    </cfRule>
  </conditionalFormatting>
  <conditionalFormatting sqref="L15">
    <cfRule type="expression" dxfId="95" priority="50" stopIfTrue="1">
      <formula>R15=2</formula>
    </cfRule>
  </conditionalFormatting>
  <conditionalFormatting sqref="N16:O16">
    <cfRule type="expression" dxfId="94" priority="49" stopIfTrue="1">
      <formula>$R$16=1</formula>
    </cfRule>
  </conditionalFormatting>
  <conditionalFormatting sqref="N15:O15">
    <cfRule type="expression" dxfId="93" priority="48" stopIfTrue="1">
      <formula>$R$15=1</formula>
    </cfRule>
  </conditionalFormatting>
  <conditionalFormatting sqref="F86">
    <cfRule type="expression" dxfId="92" priority="43" stopIfTrue="1">
      <formula>"B106=0"</formula>
    </cfRule>
  </conditionalFormatting>
  <conditionalFormatting sqref="A85:A87 P85:IV87 D86 G86:O86">
    <cfRule type="expression" dxfId="91" priority="44" stopIfTrue="1">
      <formula>"M22=0"</formula>
    </cfRule>
  </conditionalFormatting>
  <conditionalFormatting sqref="G9">
    <cfRule type="expression" dxfId="90" priority="132" stopIfTrue="1">
      <formula>G12=""=TRUE</formula>
    </cfRule>
  </conditionalFormatting>
  <conditionalFormatting sqref="L43">
    <cfRule type="expression" dxfId="89" priority="19" stopIfTrue="1">
      <formula>$R$43=2</formula>
    </cfRule>
  </conditionalFormatting>
  <conditionalFormatting sqref="N43">
    <cfRule type="expression" dxfId="88" priority="18" stopIfTrue="1">
      <formula>$R$43=1</formula>
    </cfRule>
  </conditionalFormatting>
  <conditionalFormatting sqref="J15 L15 N15">
    <cfRule type="expression" dxfId="87" priority="16" stopIfTrue="1">
      <formula>$G$15&lt;=0</formula>
    </cfRule>
  </conditionalFormatting>
  <conditionalFormatting sqref="J16 L16 N16">
    <cfRule type="expression" dxfId="86" priority="15" stopIfTrue="1">
      <formula>$G$16&lt;=0</formula>
    </cfRule>
  </conditionalFormatting>
  <conditionalFormatting sqref="J17 L17 N17">
    <cfRule type="expression" dxfId="85" priority="13" stopIfTrue="1">
      <formula>$G$17&lt;=0</formula>
    </cfRule>
  </conditionalFormatting>
  <conditionalFormatting sqref="C67">
    <cfRule type="expression" dxfId="84" priority="136" stopIfTrue="1">
      <formula>$R$66=1</formula>
    </cfRule>
  </conditionalFormatting>
  <conditionalFormatting sqref="E67 I67">
    <cfRule type="expression" dxfId="83" priority="134" stopIfTrue="1">
      <formula>$G$66="Yes"</formula>
    </cfRule>
  </conditionalFormatting>
  <conditionalFormatting sqref="G67">
    <cfRule type="expression" dxfId="82" priority="5" stopIfTrue="1">
      <formula>$G$66="Yes"</formula>
    </cfRule>
  </conditionalFormatting>
  <conditionalFormatting sqref="E38">
    <cfRule type="expression" dxfId="81" priority="3" stopIfTrue="1">
      <formula>OR(R38=1,AND(R38=2,N38=0))</formula>
    </cfRule>
  </conditionalFormatting>
  <dataValidations xWindow="926" yWindow="772" count="18">
    <dataValidation type="decimal" operator="lessThanOrEqual" allowBlank="1" showInputMessage="1" showErrorMessage="1" errorTitle="WARNING: Please check this value" error="Unbilled unmetered consumption cannont be greater than Total System Input Volume. Please check the input value and try again." sqref="G29:H29">
      <formula1>G25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G18">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I77:M77">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H67 N42:O42">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L42:L43">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N38:O38">
      <formula1>0</formula1>
      <formula2>G19</formula2>
    </dataValidation>
    <dataValidation type="decimal" operator="greaterThan" allowBlank="1" showErrorMessage="1" errorTitle="Unbilled Unmetered Consumption" error="You cannot enter a zero or negative value. Use the default percentage if you are unsure of actual unbilled unmetered consumption" promptTitle="Unbilled Unmetered Losses" prompt="Use the default percentage" sqref="N26:O26">
      <formula1>0</formula1>
    </dataValidation>
    <dataValidation type="list" allowBlank="1" showInputMessage="1" showErrorMessage="1" errorTitle="Component Grading" error="Please restrict your entry to 0 - 10. See the comment box attached to this cell or Grading Matrix worksheet for more information" sqref="E23:E25 E42 J15:J17 E15:E17 E77">
      <formula1>"n/a,1,2,3,4,5,6,7,8,9,10"</formula1>
    </dataValidation>
    <dataValidation type="list" allowBlank="1" showInputMessage="1" showErrorMessage="1" errorTitle="Component Grading" error="Please restrict your entry to 0 - 10. See the comment box attached to this cell or Grading Matrix worksheet for more information" sqref="E26 E38 E62:E63 E69 E43 E67 E76 E78">
      <formula1>"1,2,3,4,5,6,7,8,9,10"</formula1>
    </dataValidation>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G23:G25 G62:G63 G16:G17">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G43">
      <formula1>-1E+25</formula1>
    </dataValidation>
    <dataValidation type="decimal" errorStyle="warning" operator="lessThanOrEqual" allowBlank="1" showErrorMessage="1" errorTitle="Customer Service Lines" error="The value you entered is greater than an assumed maximum reasonable value." sqref="G67">
      <formula1>100</formula1>
    </dataValidation>
    <dataValidation type="decimal" errorStyle="warning" operator="lessThanOrEqual" allowBlank="1" showErrorMessage="1" errorTitle="Average Operating Pressure" error="The value you entered is greater than an assumed maximum reasonable value." sqref="G69">
      <formula1>200</formula1>
    </dataValidation>
    <dataValidation type="decimal" allowBlank="1" showInputMessage="1" showErrorMessage="1" sqref="N15:O17">
      <formula1>-999999999</formula1>
      <formula2>999999999</formula2>
    </dataValidation>
    <dataValidation type="list" errorStyle="warning" operator="lessThanOrEqual" allowBlank="1" showErrorMessage="1" errorTitle="Average Operating Pressure" error="The value you entered is greater than an assumed maximum reasonable value." sqref="G66">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N43:O43">
      <formula1>0</formula1>
      <formula2>G19</formula2>
    </dataValidation>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G15">
      <formula1>0</formula1>
      <formula2>1000000</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G76:G78">
      <formula1>0</formula1>
    </dataValidation>
  </dataValidations>
  <printOptions horizontalCentered="1" verticalCentered="1" gridLines="1"/>
  <pageMargins left="0.35" right="0.35" top="0.49" bottom="0.42" header="0.22" footer="0.22"/>
  <pageSetup scale="64" orientation="portrait" horizontalDpi="1200" r:id="rId1"/>
  <headerFooter alignWithMargins="0">
    <oddFooter>&amp;CAWWA Free Water Audit Software v5.0&amp;R&amp;A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118" r:id="rId4" name="Group Box 902">
              <controlPr defaultSize="0" autoFill="0" autoPict="0">
                <anchor moveWithCells="1" sizeWithCells="1">
                  <from>
                    <xdr:col>12</xdr:col>
                    <xdr:colOff>9525</xdr:colOff>
                    <xdr:row>14</xdr:row>
                    <xdr:rowOff>0</xdr:rowOff>
                  </from>
                  <to>
                    <xdr:col>12</xdr:col>
                    <xdr:colOff>590550</xdr:colOff>
                    <xdr:row>15</xdr:row>
                    <xdr:rowOff>0</xdr:rowOff>
                  </to>
                </anchor>
              </controlPr>
            </control>
          </mc:Choice>
        </mc:AlternateContent>
        <mc:AlternateContent xmlns:mc="http://schemas.openxmlformats.org/markup-compatibility/2006">
          <mc:Choice Requires="x14">
            <control shapeId="10119" r:id="rId5" name="Option Button 903">
              <controlPr defaultSize="0" autoFill="0" autoLine="0" autoPict="0">
                <anchor moveWithCells="1" sizeWithCells="1">
                  <from>
                    <xdr:col>12</xdr:col>
                    <xdr:colOff>47625</xdr:colOff>
                    <xdr:row>14</xdr:row>
                    <xdr:rowOff>19050</xdr:rowOff>
                  </from>
                  <to>
                    <xdr:col>12</xdr:col>
                    <xdr:colOff>333375</xdr:colOff>
                    <xdr:row>14</xdr:row>
                    <xdr:rowOff>152400</xdr:rowOff>
                  </to>
                </anchor>
              </controlPr>
            </control>
          </mc:Choice>
        </mc:AlternateContent>
        <mc:AlternateContent xmlns:mc="http://schemas.openxmlformats.org/markup-compatibility/2006">
          <mc:Choice Requires="x14">
            <control shapeId="10120" r:id="rId6" name="Option Button 904">
              <controlPr defaultSize="0" autoFill="0" autoLine="0" autoPict="0">
                <anchor moveWithCells="1" sizeWithCells="1">
                  <from>
                    <xdr:col>12</xdr:col>
                    <xdr:colOff>304800</xdr:colOff>
                    <xdr:row>14</xdr:row>
                    <xdr:rowOff>19050</xdr:rowOff>
                  </from>
                  <to>
                    <xdr:col>12</xdr:col>
                    <xdr:colOff>590550</xdr:colOff>
                    <xdr:row>14</xdr:row>
                    <xdr:rowOff>152400</xdr:rowOff>
                  </to>
                </anchor>
              </controlPr>
            </control>
          </mc:Choice>
        </mc:AlternateContent>
        <mc:AlternateContent xmlns:mc="http://schemas.openxmlformats.org/markup-compatibility/2006">
          <mc:Choice Requires="x14">
            <control shapeId="10122" r:id="rId7" name="Group Box 906">
              <controlPr defaultSize="0" autoFill="0" autoPict="0">
                <anchor moveWithCells="1" sizeWithCells="1">
                  <from>
                    <xdr:col>12</xdr:col>
                    <xdr:colOff>9525</xdr:colOff>
                    <xdr:row>15</xdr:row>
                    <xdr:rowOff>0</xdr:rowOff>
                  </from>
                  <to>
                    <xdr:col>12</xdr:col>
                    <xdr:colOff>590550</xdr:colOff>
                    <xdr:row>16</xdr:row>
                    <xdr:rowOff>0</xdr:rowOff>
                  </to>
                </anchor>
              </controlPr>
            </control>
          </mc:Choice>
        </mc:AlternateContent>
        <mc:AlternateContent xmlns:mc="http://schemas.openxmlformats.org/markup-compatibility/2006">
          <mc:Choice Requires="x14">
            <control shapeId="10123" r:id="rId8" name="Option Button 907">
              <controlPr defaultSize="0" autoFill="0" autoLine="0" autoPict="0">
                <anchor moveWithCells="1" sizeWithCells="1">
                  <from>
                    <xdr:col>12</xdr:col>
                    <xdr:colOff>47625</xdr:colOff>
                    <xdr:row>15</xdr:row>
                    <xdr:rowOff>19050</xdr:rowOff>
                  </from>
                  <to>
                    <xdr:col>12</xdr:col>
                    <xdr:colOff>333375</xdr:colOff>
                    <xdr:row>15</xdr:row>
                    <xdr:rowOff>152400</xdr:rowOff>
                  </to>
                </anchor>
              </controlPr>
            </control>
          </mc:Choice>
        </mc:AlternateContent>
        <mc:AlternateContent xmlns:mc="http://schemas.openxmlformats.org/markup-compatibility/2006">
          <mc:Choice Requires="x14">
            <control shapeId="10124" r:id="rId9" name="Option Button 908">
              <controlPr defaultSize="0" autoFill="0" autoLine="0" autoPict="0">
                <anchor moveWithCells="1" sizeWithCells="1">
                  <from>
                    <xdr:col>12</xdr:col>
                    <xdr:colOff>304800</xdr:colOff>
                    <xdr:row>15</xdr:row>
                    <xdr:rowOff>19050</xdr:rowOff>
                  </from>
                  <to>
                    <xdr:col>12</xdr:col>
                    <xdr:colOff>590550</xdr:colOff>
                    <xdr:row>15</xdr:row>
                    <xdr:rowOff>152400</xdr:rowOff>
                  </to>
                </anchor>
              </controlPr>
            </control>
          </mc:Choice>
        </mc:AlternateContent>
        <mc:AlternateContent xmlns:mc="http://schemas.openxmlformats.org/markup-compatibility/2006">
          <mc:Choice Requires="x14">
            <control shapeId="10126" r:id="rId10" name="Group Box 910">
              <controlPr defaultSize="0" autoFill="0" autoPict="0">
                <anchor moveWithCells="1" sizeWithCells="1">
                  <from>
                    <xdr:col>12</xdr:col>
                    <xdr:colOff>9525</xdr:colOff>
                    <xdr:row>16</xdr:row>
                    <xdr:rowOff>0</xdr:rowOff>
                  </from>
                  <to>
                    <xdr:col>12</xdr:col>
                    <xdr:colOff>590550</xdr:colOff>
                    <xdr:row>17</xdr:row>
                    <xdr:rowOff>0</xdr:rowOff>
                  </to>
                </anchor>
              </controlPr>
            </control>
          </mc:Choice>
        </mc:AlternateContent>
        <mc:AlternateContent xmlns:mc="http://schemas.openxmlformats.org/markup-compatibility/2006">
          <mc:Choice Requires="x14">
            <control shapeId="10127" r:id="rId11" name="Option Button 911">
              <controlPr defaultSize="0" autoFill="0" autoLine="0" autoPict="0">
                <anchor moveWithCells="1" sizeWithCells="1">
                  <from>
                    <xdr:col>12</xdr:col>
                    <xdr:colOff>47625</xdr:colOff>
                    <xdr:row>16</xdr:row>
                    <xdr:rowOff>19050</xdr:rowOff>
                  </from>
                  <to>
                    <xdr:col>12</xdr:col>
                    <xdr:colOff>333375</xdr:colOff>
                    <xdr:row>16</xdr:row>
                    <xdr:rowOff>152400</xdr:rowOff>
                  </to>
                </anchor>
              </controlPr>
            </control>
          </mc:Choice>
        </mc:AlternateContent>
        <mc:AlternateContent xmlns:mc="http://schemas.openxmlformats.org/markup-compatibility/2006">
          <mc:Choice Requires="x14">
            <control shapeId="10128" r:id="rId12" name="Option Button 912">
              <controlPr defaultSize="0" autoFill="0" autoLine="0" autoPict="0">
                <anchor moveWithCells="1" sizeWithCells="1">
                  <from>
                    <xdr:col>12</xdr:col>
                    <xdr:colOff>304800</xdr:colOff>
                    <xdr:row>16</xdr:row>
                    <xdr:rowOff>19050</xdr:rowOff>
                  </from>
                  <to>
                    <xdr:col>12</xdr:col>
                    <xdr:colOff>590550</xdr:colOff>
                    <xdr:row>16</xdr:row>
                    <xdr:rowOff>152400</xdr:rowOff>
                  </to>
                </anchor>
              </controlPr>
            </control>
          </mc:Choice>
        </mc:AlternateContent>
        <mc:AlternateContent xmlns:mc="http://schemas.openxmlformats.org/markup-compatibility/2006">
          <mc:Choice Requires="x14">
            <control shapeId="788685" r:id="rId13" name="Check Box 18637">
              <controlPr defaultSize="0" autoFill="0" autoLine="0" autoPict="0">
                <anchor moveWithCells="1">
                  <from>
                    <xdr:col>8</xdr:col>
                    <xdr:colOff>981075</xdr:colOff>
                    <xdr:row>77</xdr:row>
                    <xdr:rowOff>28575</xdr:rowOff>
                  </from>
                  <to>
                    <xdr:col>14</xdr:col>
                    <xdr:colOff>19050</xdr:colOff>
                    <xdr:row>78</xdr:row>
                    <xdr:rowOff>9525</xdr:rowOff>
                  </to>
                </anchor>
              </controlPr>
            </control>
          </mc:Choice>
        </mc:AlternateContent>
        <mc:AlternateContent xmlns:mc="http://schemas.openxmlformats.org/markup-compatibility/2006">
          <mc:Choice Requires="x14">
            <control shapeId="819594" r:id="rId14" name="Option Button 19850">
              <controlPr defaultSize="0" autoFill="0" autoLine="0" autoPict="0">
                <anchor moveWithCells="1" sizeWithCells="1">
                  <from>
                    <xdr:col>12</xdr:col>
                    <xdr:colOff>66675</xdr:colOff>
                    <xdr:row>42</xdr:row>
                    <xdr:rowOff>19050</xdr:rowOff>
                  </from>
                  <to>
                    <xdr:col>12</xdr:col>
                    <xdr:colOff>257175</xdr:colOff>
                    <xdr:row>43</xdr:row>
                    <xdr:rowOff>0</xdr:rowOff>
                  </to>
                </anchor>
              </controlPr>
            </control>
          </mc:Choice>
        </mc:AlternateContent>
        <mc:AlternateContent xmlns:mc="http://schemas.openxmlformats.org/markup-compatibility/2006">
          <mc:Choice Requires="x14">
            <control shapeId="819595" r:id="rId15" name="Option Button 19851">
              <controlPr defaultSize="0" autoFill="0" autoLine="0" autoPict="0">
                <anchor moveWithCells="1" sizeWithCells="1">
                  <from>
                    <xdr:col>12</xdr:col>
                    <xdr:colOff>314325</xdr:colOff>
                    <xdr:row>42</xdr:row>
                    <xdr:rowOff>19050</xdr:rowOff>
                  </from>
                  <to>
                    <xdr:col>12</xdr:col>
                    <xdr:colOff>457200</xdr:colOff>
                    <xdr:row>43</xdr:row>
                    <xdr:rowOff>0</xdr:rowOff>
                  </to>
                </anchor>
              </controlPr>
            </control>
          </mc:Choice>
        </mc:AlternateContent>
        <mc:AlternateContent xmlns:mc="http://schemas.openxmlformats.org/markup-compatibility/2006">
          <mc:Choice Requires="x14">
            <control shapeId="9416" r:id="rId16" name="Group Box 200">
              <controlPr defaultSize="0" autoFill="0" autoPict="0">
                <anchor moveWithCells="1" sizeWithCells="1">
                  <from>
                    <xdr:col>12</xdr:col>
                    <xdr:colOff>9525</xdr:colOff>
                    <xdr:row>25</xdr:row>
                    <xdr:rowOff>0</xdr:rowOff>
                  </from>
                  <to>
                    <xdr:col>12</xdr:col>
                    <xdr:colOff>590550</xdr:colOff>
                    <xdr:row>26</xdr:row>
                    <xdr:rowOff>0</xdr:rowOff>
                  </to>
                </anchor>
              </controlPr>
            </control>
          </mc:Choice>
        </mc:AlternateContent>
        <mc:AlternateContent xmlns:mc="http://schemas.openxmlformats.org/markup-compatibility/2006">
          <mc:Choice Requires="x14">
            <control shapeId="9417" r:id="rId17" name="Option Button 201">
              <controlPr defaultSize="0" autoFill="0" autoLine="0" autoPict="0">
                <anchor moveWithCells="1" sizeWithCells="1">
                  <from>
                    <xdr:col>12</xdr:col>
                    <xdr:colOff>57150</xdr:colOff>
                    <xdr:row>25</xdr:row>
                    <xdr:rowOff>28575</xdr:rowOff>
                  </from>
                  <to>
                    <xdr:col>12</xdr:col>
                    <xdr:colOff>342900</xdr:colOff>
                    <xdr:row>25</xdr:row>
                    <xdr:rowOff>180975</xdr:rowOff>
                  </to>
                </anchor>
              </controlPr>
            </control>
          </mc:Choice>
        </mc:AlternateContent>
        <mc:AlternateContent xmlns:mc="http://schemas.openxmlformats.org/markup-compatibility/2006">
          <mc:Choice Requires="x14">
            <control shapeId="9418" r:id="rId18" name="Option Button 202">
              <controlPr defaultSize="0" autoFill="0" autoLine="0" autoPict="0">
                <anchor moveWithCells="1" sizeWithCells="1">
                  <from>
                    <xdr:col>12</xdr:col>
                    <xdr:colOff>304800</xdr:colOff>
                    <xdr:row>25</xdr:row>
                    <xdr:rowOff>28575</xdr:rowOff>
                  </from>
                  <to>
                    <xdr:col>12</xdr:col>
                    <xdr:colOff>590550</xdr:colOff>
                    <xdr:row>25</xdr:row>
                    <xdr:rowOff>180975</xdr:rowOff>
                  </to>
                </anchor>
              </controlPr>
            </control>
          </mc:Choice>
        </mc:AlternateContent>
        <mc:AlternateContent xmlns:mc="http://schemas.openxmlformats.org/markup-compatibility/2006">
          <mc:Choice Requires="x14">
            <control shapeId="9411" r:id="rId19" name="Group Box 195">
              <controlPr defaultSize="0" autoFill="0" autoPict="0">
                <anchor moveWithCells="1" sizeWithCells="1">
                  <from>
                    <xdr:col>12</xdr:col>
                    <xdr:colOff>0</xdr:colOff>
                    <xdr:row>40</xdr:row>
                    <xdr:rowOff>19050</xdr:rowOff>
                  </from>
                  <to>
                    <xdr:col>13</xdr:col>
                    <xdr:colOff>0</xdr:colOff>
                    <xdr:row>41</xdr:row>
                    <xdr:rowOff>180975</xdr:rowOff>
                  </to>
                </anchor>
              </controlPr>
            </control>
          </mc:Choice>
        </mc:AlternateContent>
        <mc:AlternateContent xmlns:mc="http://schemas.openxmlformats.org/markup-compatibility/2006">
          <mc:Choice Requires="x14">
            <control shapeId="9412" r:id="rId20" name="Option Button 196">
              <controlPr defaultSize="0" autoFill="0" autoLine="0" autoPict="0">
                <anchor moveWithCells="1" sizeWithCells="1">
                  <from>
                    <xdr:col>12</xdr:col>
                    <xdr:colOff>47625</xdr:colOff>
                    <xdr:row>41</xdr:row>
                    <xdr:rowOff>19050</xdr:rowOff>
                  </from>
                  <to>
                    <xdr:col>12</xdr:col>
                    <xdr:colOff>342900</xdr:colOff>
                    <xdr:row>41</xdr:row>
                    <xdr:rowOff>171450</xdr:rowOff>
                  </to>
                </anchor>
              </controlPr>
            </control>
          </mc:Choice>
        </mc:AlternateContent>
        <mc:AlternateContent xmlns:mc="http://schemas.openxmlformats.org/markup-compatibility/2006">
          <mc:Choice Requires="x14">
            <control shapeId="9413" r:id="rId21" name="Option Button 197">
              <controlPr defaultSize="0" autoFill="0" autoLine="0" autoPict="0">
                <anchor moveWithCells="1" sizeWithCells="1">
                  <from>
                    <xdr:col>12</xdr:col>
                    <xdr:colOff>304800</xdr:colOff>
                    <xdr:row>41</xdr:row>
                    <xdr:rowOff>19050</xdr:rowOff>
                  </from>
                  <to>
                    <xdr:col>13</xdr:col>
                    <xdr:colOff>0</xdr:colOff>
                    <xdr:row>41</xdr:row>
                    <xdr:rowOff>171450</xdr:rowOff>
                  </to>
                </anchor>
              </controlPr>
            </control>
          </mc:Choice>
        </mc:AlternateContent>
        <mc:AlternateContent xmlns:mc="http://schemas.openxmlformats.org/markup-compatibility/2006">
          <mc:Choice Requires="x14">
            <control shapeId="9399" r:id="rId22" name="Group Box 183">
              <controlPr defaultSize="0" autoFill="0" autoPict="0">
                <anchor moveWithCells="1" sizeWithCells="1">
                  <from>
                    <xdr:col>12</xdr:col>
                    <xdr:colOff>9525</xdr:colOff>
                    <xdr:row>37</xdr:row>
                    <xdr:rowOff>0</xdr:rowOff>
                  </from>
                  <to>
                    <xdr:col>12</xdr:col>
                    <xdr:colOff>590550</xdr:colOff>
                    <xdr:row>38</xdr:row>
                    <xdr:rowOff>0</xdr:rowOff>
                  </to>
                </anchor>
              </controlPr>
            </control>
          </mc:Choice>
        </mc:AlternateContent>
        <mc:AlternateContent xmlns:mc="http://schemas.openxmlformats.org/markup-compatibility/2006">
          <mc:Choice Requires="x14">
            <control shapeId="9401" r:id="rId23" name="Option Button 185">
              <controlPr defaultSize="0" autoFill="0" autoLine="0" autoPict="0">
                <anchor moveWithCells="1" sizeWithCells="1">
                  <from>
                    <xdr:col>12</xdr:col>
                    <xdr:colOff>57150</xdr:colOff>
                    <xdr:row>37</xdr:row>
                    <xdr:rowOff>28575</xdr:rowOff>
                  </from>
                  <to>
                    <xdr:col>12</xdr:col>
                    <xdr:colOff>342900</xdr:colOff>
                    <xdr:row>37</xdr:row>
                    <xdr:rowOff>180975</xdr:rowOff>
                  </to>
                </anchor>
              </controlPr>
            </control>
          </mc:Choice>
        </mc:AlternateContent>
        <mc:AlternateContent xmlns:mc="http://schemas.openxmlformats.org/markup-compatibility/2006">
          <mc:Choice Requires="x14">
            <control shapeId="9402" r:id="rId24" name="Option Button 186">
              <controlPr defaultSize="0" autoFill="0" autoLine="0" autoPict="0">
                <anchor moveWithCells="1" sizeWithCells="1">
                  <from>
                    <xdr:col>12</xdr:col>
                    <xdr:colOff>304800</xdr:colOff>
                    <xdr:row>37</xdr:row>
                    <xdr:rowOff>28575</xdr:rowOff>
                  </from>
                  <to>
                    <xdr:col>12</xdr:col>
                    <xdr:colOff>590550</xdr:colOff>
                    <xdr:row>37</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79998168889431442"/>
    <pageSetUpPr fitToPage="1"/>
  </sheetPr>
  <dimension ref="A1:Z192"/>
  <sheetViews>
    <sheetView showGridLines="0" showRowColHeaders="0" zoomScaleNormal="100" workbookViewId="0">
      <pane xSplit="1" ySplit="9" topLeftCell="B10" activePane="bottomRight" state="frozen"/>
      <selection activeCell="J22" sqref="J22:J25"/>
      <selection pane="topRight" activeCell="J22" sqref="J22:J25"/>
      <selection pane="bottomLeft" activeCell="J22" sqref="J22:J25"/>
      <selection pane="bottomRight" activeCell="B2" sqref="B2:P2"/>
    </sheetView>
  </sheetViews>
  <sheetFormatPr defaultColWidth="0" defaultRowHeight="0" customHeight="1" zeroHeight="1"/>
  <cols>
    <col min="1" max="1" width="1" style="251" customWidth="1"/>
    <col min="2" max="2" width="1.85546875" style="251" customWidth="1"/>
    <col min="3" max="3" width="57.85546875" style="251" customWidth="1"/>
    <col min="4" max="4" width="6.28515625" style="251" customWidth="1"/>
    <col min="5" max="5" width="3.5703125" style="268" customWidth="1"/>
    <col min="6" max="6" width="0.7109375" style="251" customWidth="1"/>
    <col min="7" max="7" width="17.85546875" style="251" customWidth="1"/>
    <col min="8" max="8" width="1" style="251" customWidth="1"/>
    <col min="9" max="9" width="21.85546875" style="251" customWidth="1"/>
    <col min="10" max="10" width="3.5703125" style="251" customWidth="1"/>
    <col min="11" max="11" width="0.7109375" style="251" customWidth="1"/>
    <col min="12" max="12" width="6.7109375" style="251" customWidth="1"/>
    <col min="13" max="13" width="9" style="251" customWidth="1"/>
    <col min="14" max="14" width="10.7109375" style="251" customWidth="1"/>
    <col min="15" max="15" width="8.5703125" style="251" customWidth="1"/>
    <col min="16" max="16" width="3.28515625" style="251" customWidth="1"/>
    <col min="17" max="17" width="1.28515625" style="269" customWidth="1"/>
    <col min="18" max="18" width="12.140625" style="269" hidden="1" customWidth="1"/>
    <col min="19" max="26" width="8.85546875" style="269" hidden="1" customWidth="1"/>
    <col min="27" max="16384" width="8.85546875" style="270" hidden="1"/>
  </cols>
  <sheetData>
    <row r="1" spans="1:26" s="248" customFormat="1" ht="6.75" customHeight="1" thickBot="1">
      <c r="A1" s="595">
        <v>0</v>
      </c>
      <c r="B1" s="595"/>
      <c r="C1" s="595"/>
      <c r="D1" s="595"/>
      <c r="E1" s="596"/>
      <c r="F1" s="595"/>
      <c r="G1" s="595"/>
      <c r="H1" s="595"/>
      <c r="I1" s="595"/>
      <c r="J1" s="595"/>
      <c r="K1" s="595"/>
      <c r="L1" s="595"/>
      <c r="M1" s="595"/>
      <c r="N1" s="595"/>
      <c r="O1" s="595"/>
      <c r="P1" s="595"/>
      <c r="Q1" s="595"/>
      <c r="R1" s="247"/>
      <c r="S1" s="247"/>
      <c r="T1" s="247"/>
      <c r="U1" s="247"/>
      <c r="V1" s="247"/>
      <c r="W1" s="247"/>
      <c r="X1" s="247"/>
      <c r="Y1" s="247"/>
      <c r="Z1" s="247"/>
    </row>
    <row r="2" spans="1:26" s="248" customFormat="1" ht="42" customHeight="1" thickTop="1">
      <c r="A2" s="595"/>
      <c r="B2" s="841" t="s">
        <v>368</v>
      </c>
      <c r="C2" s="842"/>
      <c r="D2" s="842"/>
      <c r="E2" s="842"/>
      <c r="F2" s="842"/>
      <c r="G2" s="842"/>
      <c r="H2" s="842"/>
      <c r="I2" s="842"/>
      <c r="J2" s="842"/>
      <c r="K2" s="842"/>
      <c r="L2" s="842"/>
      <c r="M2" s="842"/>
      <c r="N2" s="842"/>
      <c r="O2" s="842"/>
      <c r="P2" s="843"/>
      <c r="Q2" s="595"/>
      <c r="R2" s="247"/>
      <c r="S2" s="247"/>
      <c r="T2" s="247"/>
      <c r="U2" s="247"/>
      <c r="V2" s="247"/>
      <c r="W2" s="247"/>
      <c r="X2" s="247"/>
      <c r="Y2" s="247"/>
      <c r="Z2" s="247"/>
    </row>
    <row r="3" spans="1:26" s="248" customFormat="1" ht="8.25" customHeight="1">
      <c r="A3" s="595"/>
      <c r="B3" s="699"/>
      <c r="C3" s="249"/>
      <c r="D3" s="249"/>
      <c r="E3" s="250"/>
      <c r="F3" s="249"/>
      <c r="G3" s="251"/>
      <c r="H3" s="251"/>
      <c r="I3" s="251"/>
      <c r="J3" s="251"/>
      <c r="K3" s="251"/>
      <c r="L3" s="251"/>
      <c r="M3" s="251"/>
      <c r="N3" s="251"/>
      <c r="O3" s="251"/>
      <c r="P3" s="700"/>
      <c r="Q3" s="595"/>
      <c r="R3" s="247"/>
      <c r="S3" s="247"/>
      <c r="T3" s="247"/>
      <c r="U3" s="247"/>
      <c r="V3" s="247"/>
      <c r="W3" s="247"/>
      <c r="X3" s="247"/>
      <c r="Y3" s="247"/>
      <c r="Z3" s="247"/>
    </row>
    <row r="4" spans="1:26" s="248" customFormat="1" ht="15.75">
      <c r="A4" s="595"/>
      <c r="B4" s="699"/>
      <c r="C4" s="365" t="s">
        <v>193</v>
      </c>
      <c r="D4" s="708" t="str">
        <f>IF(ISBLANK(Instructions!D18),"&lt;&lt; Please enter system details and contact information on the Instructions tab &gt;&gt;",Instructions!D18&amp;IF(ISBLANK(Instructions!D36),"","  ("&amp;Instructions!D36&amp;")"))</f>
        <v>Sunnyslope County Water District  (CA3510003)</v>
      </c>
      <c r="E4" s="709"/>
      <c r="F4" s="710"/>
      <c r="G4" s="711"/>
      <c r="H4" s="711"/>
      <c r="I4" s="711"/>
      <c r="J4" s="711"/>
      <c r="K4" s="711"/>
      <c r="L4" s="711"/>
      <c r="M4" s="712"/>
      <c r="N4" s="251"/>
      <c r="O4" s="251"/>
      <c r="P4" s="700"/>
      <c r="Q4" s="595"/>
      <c r="R4" s="247"/>
      <c r="S4" s="247"/>
      <c r="T4" s="247"/>
      <c r="U4" s="247"/>
      <c r="V4" s="247"/>
      <c r="W4" s="247"/>
      <c r="X4" s="247"/>
      <c r="Y4" s="247"/>
      <c r="Z4" s="247"/>
    </row>
    <row r="5" spans="1:26" s="248" customFormat="1" ht="15.75">
      <c r="A5" s="595"/>
      <c r="B5" s="699"/>
      <c r="C5" s="365" t="s">
        <v>194</v>
      </c>
      <c r="D5" s="856">
        <f>IF(ISBLANK(Instructions!D26),"",Instructions!D26)</f>
        <v>2018</v>
      </c>
      <c r="E5" s="857"/>
      <c r="F5" s="249"/>
      <c r="G5" s="856" t="str">
        <f>IF(ISBLANK(Instructions!D26),"",IF(Instructions!E26="Calendar Year","1/"&amp;Instructions!D26&amp;" - "&amp;"12/"&amp;Instructions!D26,IF(OR(ISBLANK(Instructions!D28),ISBLANK(Instructions!D30)),"",MONTH(Instructions!D28)&amp;"/"&amp;YEAR(Instructions!D28)&amp;" - "&amp;MONTH(Instructions!D30)&amp;"/"&amp;YEAR(Instructions!D30))))</f>
        <v>7/2018 - 6/2019</v>
      </c>
      <c r="H5" s="857"/>
      <c r="I5" s="251"/>
      <c r="J5" s="251"/>
      <c r="K5" s="251"/>
      <c r="L5" s="251"/>
      <c r="M5" s="251"/>
      <c r="N5" s="251"/>
      <c r="O5" s="251"/>
      <c r="P5" s="700"/>
      <c r="Q5" s="595"/>
      <c r="R5" s="247"/>
      <c r="S5" s="247"/>
      <c r="T5" s="247"/>
      <c r="U5" s="247"/>
      <c r="V5" s="247"/>
      <c r="W5" s="247"/>
      <c r="X5" s="247"/>
      <c r="Y5" s="247"/>
      <c r="Z5" s="247"/>
    </row>
    <row r="6" spans="1:26" s="248" customFormat="1" ht="3.75" customHeight="1">
      <c r="A6" s="595"/>
      <c r="B6" s="699"/>
      <c r="C6" s="252"/>
      <c r="D6" s="249"/>
      <c r="E6" s="250"/>
      <c r="F6" s="249"/>
      <c r="G6" s="251"/>
      <c r="H6" s="251"/>
      <c r="I6" s="251"/>
      <c r="J6" s="251"/>
      <c r="K6" s="251"/>
      <c r="L6" s="251"/>
      <c r="M6" s="251"/>
      <c r="N6" s="251"/>
      <c r="O6" s="251"/>
      <c r="P6" s="700"/>
      <c r="Q6" s="595"/>
      <c r="R6" s="247"/>
      <c r="S6" s="247"/>
      <c r="T6" s="247"/>
      <c r="U6" s="247"/>
      <c r="V6" s="247"/>
      <c r="W6" s="247"/>
      <c r="X6" s="247"/>
      <c r="Y6" s="247"/>
      <c r="Z6" s="247"/>
    </row>
    <row r="7" spans="1:26" s="248" customFormat="1" ht="2.25" customHeight="1">
      <c r="A7" s="595"/>
      <c r="B7" s="699"/>
      <c r="C7" s="249"/>
      <c r="D7" s="249"/>
      <c r="E7" s="250"/>
      <c r="F7" s="249"/>
      <c r="G7" s="251"/>
      <c r="H7" s="251"/>
      <c r="I7" s="251"/>
      <c r="J7" s="251"/>
      <c r="K7" s="251"/>
      <c r="L7" s="251"/>
      <c r="M7" s="251"/>
      <c r="N7" s="251"/>
      <c r="O7" s="251"/>
      <c r="P7" s="700"/>
      <c r="Q7" s="595"/>
      <c r="R7" s="247"/>
      <c r="S7" s="247"/>
      <c r="T7" s="247"/>
      <c r="U7" s="247"/>
      <c r="V7" s="247"/>
      <c r="W7" s="247"/>
      <c r="X7" s="247"/>
      <c r="Y7" s="247"/>
      <c r="Z7" s="247"/>
    </row>
    <row r="8" spans="1:26" s="248" customFormat="1" ht="6" customHeight="1">
      <c r="A8" s="595"/>
      <c r="B8" s="699"/>
      <c r="C8" s="253"/>
      <c r="D8" s="249"/>
      <c r="E8" s="250"/>
      <c r="F8" s="249"/>
      <c r="G8" s="251"/>
      <c r="H8" s="251"/>
      <c r="I8" s="251"/>
      <c r="J8" s="251"/>
      <c r="K8" s="251"/>
      <c r="L8" s="251"/>
      <c r="M8" s="251"/>
      <c r="N8" s="251"/>
      <c r="O8" s="251"/>
      <c r="P8" s="700"/>
      <c r="Q8" s="595"/>
      <c r="R8" s="247"/>
      <c r="S8" s="247"/>
      <c r="T8" s="247"/>
      <c r="U8" s="247"/>
      <c r="V8" s="247"/>
      <c r="W8" s="247"/>
      <c r="X8" s="247"/>
      <c r="Y8" s="247"/>
      <c r="Z8" s="247"/>
    </row>
    <row r="9" spans="1:26" s="248" customFormat="1" ht="15.6" customHeight="1">
      <c r="A9" s="595"/>
      <c r="B9" s="699"/>
      <c r="C9" s="860" t="str">
        <f>IF(ISBLANK(Instructions!$D$34),"********** REPORTING UNITS MUST BE SELECTED ON THE INSTRUCTIONS WORKSHEET BEFORE PERFORMANCE INDICATORS CAN BE DISPLAYED **********",IF(GradingAssessment!M24&gt;0," ********** DATA GRADING MUST BE COMPLTED ON THE REPORTING WORKSHEET BEFORE PERFORMANCE INDICATORS CAN BE DISPLAYED **********","*** YOUR WATER AUDIT DATA VALIDITY SCORE IS: "&amp;ROUND(GradingAssessment!G24,0)&amp;" out of 100 ***"))</f>
        <v>*** YOUR WATER AUDIT DATA VALIDITY SCORE IS: 51 out of 100 ***</v>
      </c>
      <c r="D9" s="860"/>
      <c r="E9" s="860"/>
      <c r="F9" s="860"/>
      <c r="G9" s="860"/>
      <c r="H9" s="860"/>
      <c r="I9" s="860"/>
      <c r="J9" s="860"/>
      <c r="K9" s="860"/>
      <c r="L9" s="860"/>
      <c r="M9" s="860"/>
      <c r="N9" s="860"/>
      <c r="O9" s="860"/>
      <c r="P9" s="700"/>
      <c r="Q9" s="595"/>
      <c r="R9" s="247"/>
      <c r="S9" s="247"/>
      <c r="T9" s="247"/>
      <c r="U9" s="247"/>
      <c r="V9" s="247"/>
      <c r="W9" s="247"/>
      <c r="X9" s="247"/>
      <c r="Y9" s="247"/>
      <c r="Z9" s="247"/>
    </row>
    <row r="10" spans="1:26" s="248" customFormat="1" ht="15" customHeight="1">
      <c r="A10" s="595"/>
      <c r="B10" s="699"/>
      <c r="C10" s="254" t="s">
        <v>360</v>
      </c>
      <c r="D10" s="249"/>
      <c r="E10" s="250"/>
      <c r="F10" s="249"/>
      <c r="G10" s="251"/>
      <c r="H10" s="251"/>
      <c r="I10" s="251"/>
      <c r="J10" s="251"/>
      <c r="K10" s="251"/>
      <c r="L10" s="251"/>
      <c r="M10" s="251"/>
      <c r="N10" s="251"/>
      <c r="O10" s="251"/>
      <c r="P10" s="700"/>
      <c r="Q10" s="595"/>
      <c r="R10" s="247"/>
      <c r="S10" s="247"/>
      <c r="T10" s="247"/>
      <c r="U10" s="247"/>
      <c r="V10" s="247"/>
      <c r="W10" s="247"/>
      <c r="X10" s="247"/>
      <c r="Y10" s="247"/>
      <c r="Z10" s="247"/>
    </row>
    <row r="11" spans="1:26" s="248" customFormat="1" ht="15.6" customHeight="1">
      <c r="A11" s="595"/>
      <c r="B11" s="699"/>
      <c r="C11" s="249"/>
      <c r="D11" s="249"/>
      <c r="E11" s="250"/>
      <c r="F11" s="249"/>
      <c r="G11" s="255" t="s">
        <v>116</v>
      </c>
      <c r="H11" s="251"/>
      <c r="I11" s="363">
        <f>IF(ISBLANK(Instructions!$D$34),"",'Reporting Worksheet'!G47)</f>
        <v>11.426256035353585</v>
      </c>
      <c r="J11" s="223" t="str">
        <f>IF(Instructions!$D$34="million gallons (US)","MG/Yr",IF(Instructions!$D$34="Megalitres (thousand cubic metres)","ML/Yr",IF(Instructions!$D$34="acre-feet","acre-ft/yr","")))</f>
        <v>MG/Yr</v>
      </c>
      <c r="K11" s="251"/>
      <c r="L11" s="251"/>
      <c r="M11" s="251"/>
      <c r="N11" s="251"/>
      <c r="O11" s="251"/>
      <c r="P11" s="700"/>
      <c r="Q11" s="595"/>
      <c r="R11" s="549">
        <f>GradingAssessment!M24</f>
        <v>0</v>
      </c>
      <c r="S11" s="551" t="s">
        <v>436</v>
      </c>
      <c r="T11" s="247"/>
      <c r="U11" s="247"/>
      <c r="V11" s="247"/>
      <c r="W11" s="247"/>
      <c r="X11" s="247"/>
      <c r="Y11" s="247"/>
      <c r="Z11" s="247"/>
    </row>
    <row r="12" spans="1:26" s="248" customFormat="1" ht="2.4500000000000002" customHeight="1">
      <c r="A12" s="595"/>
      <c r="B12" s="699"/>
      <c r="C12" s="249"/>
      <c r="D12" s="249"/>
      <c r="E12" s="250"/>
      <c r="F12" s="249"/>
      <c r="G12" s="255"/>
      <c r="H12" s="251"/>
      <c r="I12" s="251"/>
      <c r="J12" s="223"/>
      <c r="K12" s="251"/>
      <c r="L12" s="251"/>
      <c r="M12" s="251"/>
      <c r="N12" s="251"/>
      <c r="O12" s="251"/>
      <c r="P12" s="700"/>
      <c r="Q12" s="595"/>
      <c r="R12" s="247"/>
      <c r="S12" s="247"/>
      <c r="T12" s="247"/>
      <c r="U12" s="247"/>
      <c r="V12" s="247"/>
      <c r="W12" s="247"/>
      <c r="X12" s="247"/>
      <c r="Y12" s="247"/>
      <c r="Z12" s="247"/>
    </row>
    <row r="13" spans="1:26" s="248" customFormat="1" ht="15.6" customHeight="1">
      <c r="A13" s="595"/>
      <c r="B13" s="699"/>
      <c r="C13" s="249"/>
      <c r="D13" s="249"/>
      <c r="E13" s="250"/>
      <c r="F13" s="249"/>
      <c r="G13" s="364" t="s">
        <v>352</v>
      </c>
      <c r="H13" s="251"/>
      <c r="I13" s="363">
        <f>IF(ISBLANK(Instructions!$D$34),"",'Reporting Worksheet'!G52)</f>
        <v>32.000543964646482</v>
      </c>
      <c r="J13" s="223" t="str">
        <f>IF(Instructions!$D$34="million gallons (US)","MG/Yr",IF(Instructions!$D$34="Megalitres (thousand cubic metres)","ML/Yr",IF(Instructions!$D$34="acre-feet","acre-ft/yr","")))</f>
        <v>MG/Yr</v>
      </c>
      <c r="K13" s="251"/>
      <c r="L13" s="251"/>
      <c r="M13" s="251"/>
      <c r="N13" s="251"/>
      <c r="O13" s="251"/>
      <c r="P13" s="700"/>
      <c r="Q13" s="595"/>
      <c r="R13" s="550">
        <f>IF(ISBLANK(Instructions!$D$34),0,1)</f>
        <v>1</v>
      </c>
      <c r="S13" s="551" t="s">
        <v>437</v>
      </c>
      <c r="T13" s="247"/>
      <c r="U13" s="247"/>
      <c r="V13" s="247"/>
      <c r="W13" s="247"/>
      <c r="X13" s="247"/>
      <c r="Y13" s="247"/>
      <c r="Z13" s="247"/>
    </row>
    <row r="14" spans="1:26" s="248" customFormat="1" ht="3.6" customHeight="1">
      <c r="A14" s="595"/>
      <c r="B14" s="699"/>
      <c r="C14" s="249"/>
      <c r="D14" s="249"/>
      <c r="E14" s="250"/>
      <c r="F14" s="249"/>
      <c r="G14" s="364"/>
      <c r="H14" s="251"/>
      <c r="I14" s="251"/>
      <c r="J14" s="223"/>
      <c r="K14" s="251"/>
      <c r="L14" s="251"/>
      <c r="M14" s="251"/>
      <c r="N14" s="251"/>
      <c r="O14" s="251"/>
      <c r="P14" s="700"/>
      <c r="Q14" s="595"/>
      <c r="R14" s="247"/>
      <c r="S14" s="247"/>
      <c r="T14" s="247"/>
      <c r="U14" s="247"/>
      <c r="V14" s="247"/>
      <c r="W14" s="247"/>
      <c r="X14" s="247"/>
      <c r="Y14" s="247"/>
      <c r="Z14" s="247"/>
    </row>
    <row r="15" spans="1:26" s="248" customFormat="1" ht="15.6" customHeight="1">
      <c r="A15" s="595"/>
      <c r="B15" s="699"/>
      <c r="C15" s="249"/>
      <c r="D15" s="249"/>
      <c r="E15" s="250"/>
      <c r="F15" s="249"/>
      <c r="G15" s="369" t="s">
        <v>351</v>
      </c>
      <c r="H15" s="251"/>
      <c r="I15" s="370">
        <f>IF(ISBLANK(Instructions!$D$34),"",'Reporting Worksheet'!G54)</f>
        <v>43.426800000000071</v>
      </c>
      <c r="J15" s="223" t="str">
        <f>IF(Instructions!$D$34="million gallons (US)","MG/Yr",IF(Instructions!$D$34="Megalitres (thousand cubic metres)","ML/Yr",IF(Instructions!$D$34="acre-feet","acre-ft/yr","")))</f>
        <v>MG/Yr</v>
      </c>
      <c r="K15" s="251"/>
      <c r="L15" s="251"/>
      <c r="M15" s="251"/>
      <c r="N15" s="251"/>
      <c r="O15" s="251"/>
      <c r="P15" s="700"/>
      <c r="Q15" s="595"/>
      <c r="R15" s="247"/>
      <c r="S15" s="247"/>
      <c r="T15" s="247"/>
      <c r="U15" s="247"/>
      <c r="V15" s="247"/>
      <c r="W15" s="247"/>
      <c r="X15" s="247"/>
      <c r="Y15" s="247"/>
      <c r="Z15" s="247"/>
    </row>
    <row r="16" spans="1:26" s="248" customFormat="1" ht="13.9" customHeight="1">
      <c r="A16" s="595"/>
      <c r="B16" s="699"/>
      <c r="C16" s="249"/>
      <c r="D16" s="249"/>
      <c r="E16" s="250"/>
      <c r="F16" s="249"/>
      <c r="G16" s="251"/>
      <c r="H16" s="251"/>
      <c r="I16" s="251"/>
      <c r="J16" s="251"/>
      <c r="K16" s="251"/>
      <c r="L16" s="251"/>
      <c r="M16" s="251"/>
      <c r="N16" s="251"/>
      <c r="O16" s="251"/>
      <c r="P16" s="700"/>
      <c r="Q16" s="595"/>
      <c r="R16" s="247"/>
      <c r="S16" s="247"/>
      <c r="T16" s="247"/>
      <c r="U16" s="247"/>
      <c r="V16" s="247"/>
      <c r="W16" s="247"/>
      <c r="X16" s="247"/>
      <c r="Y16" s="247"/>
      <c r="Z16" s="247"/>
    </row>
    <row r="17" spans="1:26" s="248" customFormat="1" ht="13.9" customHeight="1">
      <c r="A17" s="595"/>
      <c r="B17" s="699"/>
      <c r="C17" s="249"/>
      <c r="D17" s="249"/>
      <c r="E17" s="250"/>
      <c r="F17" s="249"/>
      <c r="G17" s="255" t="s">
        <v>89</v>
      </c>
      <c r="H17" s="251"/>
      <c r="I17" s="359">
        <f>IF(ISBLANK(Instructions!$D$34),"",IF(Instructions!$D$34="Megalitres (thousand cubic metres)",IF(AND('Reporting Worksheet'!G69&gt;=25,'Reporting Worksheet'!G62*20+'Reporting Worksheet'!G63&gt;3000),(((18*'Reporting Worksheet'!G62)+(0.8*'Reporting Worksheet'!G63)+(25*('Reporting Worksheet'!G63*'Reporting Worksheet'!R68/1000)))*'Reporting Worksheet'!G69/1000000)*365,"Not Valid"),IF(AND('Reporting Worksheet'!G69&gt;=35,'Reporting Worksheet'!G62*32+'Reporting Worksheet'!G63&gt;3000),(((5.41*'Reporting Worksheet'!G62)+(0.15*'Reporting Worksheet'!G63)+(7.5*('Reporting Worksheet'!G63*'Reporting Worksheet'!R68/5280)))*'Reporting Worksheet'!G69)/IF(Instructions!$D$34="Million gallons (US)",1000000,325851.427242)*365,"See limits in definition")))</f>
        <v>35.895562919999996</v>
      </c>
      <c r="J17" s="223" t="str">
        <f>IF(Instructions!$D$34="million gallons (US)","MG/Yr",IF(Instructions!$D$34="Megalitres (thousand cubic metres)","ML/Yr",IF(Instructions!$D$34="acre-feet","acre-ft/yr","")))</f>
        <v>MG/Yr</v>
      </c>
      <c r="K17" s="251"/>
      <c r="L17" s="251"/>
      <c r="M17" s="251"/>
      <c r="N17" s="251"/>
      <c r="O17" s="251"/>
      <c r="P17" s="700"/>
      <c r="Q17" s="595"/>
      <c r="R17" s="247"/>
      <c r="S17" s="247"/>
      <c r="T17" s="247"/>
      <c r="U17" s="247"/>
      <c r="V17" s="247"/>
      <c r="W17" s="247"/>
      <c r="X17" s="247"/>
      <c r="Y17" s="247"/>
      <c r="Z17" s="247"/>
    </row>
    <row r="18" spans="1:26" s="248" customFormat="1" ht="8.4499999999999993" customHeight="1">
      <c r="A18" s="595"/>
      <c r="B18" s="699"/>
      <c r="C18" s="249"/>
      <c r="D18" s="249"/>
      <c r="E18" s="250"/>
      <c r="F18" s="249"/>
      <c r="G18" s="255"/>
      <c r="H18" s="251"/>
      <c r="I18" s="251"/>
      <c r="J18" s="223"/>
      <c r="K18" s="251"/>
      <c r="L18" s="251"/>
      <c r="M18" s="251"/>
      <c r="N18" s="251"/>
      <c r="O18" s="251"/>
      <c r="P18" s="700"/>
      <c r="Q18" s="595"/>
      <c r="R18" s="247"/>
      <c r="S18" s="247"/>
      <c r="T18" s="247"/>
      <c r="U18" s="247"/>
      <c r="V18" s="247"/>
      <c r="W18" s="247"/>
      <c r="X18" s="247"/>
      <c r="Y18" s="247"/>
      <c r="Z18" s="247"/>
    </row>
    <row r="19" spans="1:26" s="248" customFormat="1" ht="13.9" customHeight="1">
      <c r="A19" s="595"/>
      <c r="B19" s="699"/>
      <c r="C19" s="249"/>
      <c r="D19" s="249"/>
      <c r="E19" s="250"/>
      <c r="F19" s="249"/>
      <c r="G19" s="255" t="s">
        <v>199</v>
      </c>
      <c r="H19" s="251"/>
      <c r="I19" s="354">
        <f>IF(OR(ISBLANK(Instructions!$D$34),ISBLANK('Reporting Worksheet'!I77)),"",('Reporting Worksheet'!G47*'Reporting Worksheet'!G77)*INDEX(Sheet1!B2:D4,MATCH(Instructions!D34,Sheet1!A2:A4,0),MATCH('Reporting Worksheet'!I77,Sheet1!B1:D1,0)))</f>
        <v>61709.717742700981</v>
      </c>
      <c r="J19" s="223"/>
      <c r="K19" s="251"/>
      <c r="L19" s="251"/>
      <c r="M19" s="251"/>
      <c r="N19" s="251"/>
      <c r="O19" s="251"/>
      <c r="P19" s="700"/>
      <c r="Q19" s="595"/>
      <c r="R19" s="247"/>
      <c r="S19" s="247"/>
      <c r="T19" s="247"/>
      <c r="U19" s="247"/>
      <c r="V19" s="247"/>
      <c r="W19" s="247"/>
      <c r="X19" s="247"/>
      <c r="Y19" s="247"/>
      <c r="Z19" s="247"/>
    </row>
    <row r="20" spans="1:26" s="248" customFormat="1" ht="5.45" customHeight="1">
      <c r="A20" s="595"/>
      <c r="B20" s="699"/>
      <c r="C20" s="249"/>
      <c r="D20" s="249"/>
      <c r="E20" s="250"/>
      <c r="F20" s="249"/>
      <c r="G20" s="255"/>
      <c r="H20" s="251"/>
      <c r="I20" s="251"/>
      <c r="J20" s="223"/>
      <c r="K20" s="251"/>
      <c r="L20" s="251"/>
      <c r="M20" s="251"/>
      <c r="N20" s="251"/>
      <c r="O20" s="251"/>
      <c r="P20" s="700"/>
      <c r="Q20" s="595"/>
      <c r="R20" s="247"/>
      <c r="S20" s="247"/>
      <c r="T20" s="247"/>
      <c r="U20" s="247"/>
      <c r="V20" s="247"/>
      <c r="W20" s="247"/>
      <c r="X20" s="247"/>
      <c r="Y20" s="247"/>
      <c r="Z20" s="247"/>
    </row>
    <row r="21" spans="1:26" s="248" customFormat="1" ht="13.9" customHeight="1">
      <c r="A21" s="595"/>
      <c r="B21" s="699"/>
      <c r="C21" s="249"/>
      <c r="D21" s="249"/>
      <c r="E21" s="250"/>
      <c r="F21" s="249"/>
      <c r="G21" s="255" t="s">
        <v>298</v>
      </c>
      <c r="H21" s="251"/>
      <c r="I21" s="355">
        <f>IF(ISBLANK(Instructions!D34),"",IF(ISBLANK('Reporting Worksheet'!G78),"",'Reporting Worksheet'!G52*(IF(R21=FALSE,'Reporting Worksheet'!G78,IF(R21=TRUE,'Reporting Worksheet'!G77*INDEX(Sheet1!B2:D4,MATCH(Instructions!D34,Sheet1!A2:A4,0),MATCH('Reporting Worksheet'!I77,Sheet1!B1:D1,0)),"")))))</f>
        <v>8197.2593419838431</v>
      </c>
      <c r="J21" s="381"/>
      <c r="K21" s="382"/>
      <c r="L21" s="383" t="s">
        <v>372</v>
      </c>
      <c r="M21" s="384" t="str">
        <f>IF(R21=FALSE,"Variable Production Cost","Customer Retail Unit Cost")</f>
        <v>Variable Production Cost</v>
      </c>
      <c r="N21" s="382"/>
      <c r="O21" s="382"/>
      <c r="P21" s="700"/>
      <c r="Q21" s="595"/>
      <c r="R21" s="540" t="b">
        <v>0</v>
      </c>
      <c r="S21" s="247" t="s">
        <v>371</v>
      </c>
      <c r="T21" s="247"/>
      <c r="U21" s="247"/>
      <c r="V21" s="247"/>
      <c r="W21" s="247"/>
      <c r="X21" s="247"/>
      <c r="Y21" s="247"/>
      <c r="Z21" s="247"/>
    </row>
    <row r="22" spans="1:26" s="248" customFormat="1" ht="13.9" customHeight="1">
      <c r="A22" s="595"/>
      <c r="B22" s="699"/>
      <c r="C22" s="254"/>
      <c r="D22" s="249"/>
      <c r="E22" s="250"/>
      <c r="F22" s="249"/>
      <c r="G22" s="251"/>
      <c r="H22" s="251"/>
      <c r="I22" s="251"/>
      <c r="J22" s="858" t="s">
        <v>373</v>
      </c>
      <c r="K22" s="858"/>
      <c r="L22" s="858"/>
      <c r="M22" s="858"/>
      <c r="N22" s="858"/>
      <c r="O22" s="858"/>
      <c r="P22" s="859"/>
      <c r="Q22" s="595"/>
      <c r="R22" s="247"/>
      <c r="S22" s="247" t="s">
        <v>362</v>
      </c>
      <c r="T22" s="247"/>
      <c r="U22" s="247"/>
      <c r="V22" s="247"/>
      <c r="W22" s="247"/>
      <c r="X22" s="247"/>
      <c r="Y22" s="247"/>
      <c r="Z22" s="247"/>
    </row>
    <row r="23" spans="1:26" s="248" customFormat="1" ht="6.6" customHeight="1">
      <c r="A23" s="595"/>
      <c r="B23" s="699"/>
      <c r="C23" s="254"/>
      <c r="D23" s="249"/>
      <c r="E23" s="250"/>
      <c r="F23" s="249"/>
      <c r="G23" s="251"/>
      <c r="H23" s="251"/>
      <c r="I23" s="251"/>
      <c r="J23" s="858"/>
      <c r="K23" s="858"/>
      <c r="L23" s="858"/>
      <c r="M23" s="858"/>
      <c r="N23" s="858"/>
      <c r="O23" s="858"/>
      <c r="P23" s="859"/>
      <c r="Q23" s="595"/>
      <c r="R23" s="247"/>
      <c r="S23" s="247"/>
      <c r="T23" s="247"/>
      <c r="U23" s="247"/>
      <c r="V23" s="247"/>
      <c r="W23" s="247"/>
      <c r="X23" s="247"/>
      <c r="Y23" s="247"/>
      <c r="Z23" s="247"/>
    </row>
    <row r="24" spans="1:26" s="248" customFormat="1" ht="13.9" customHeight="1">
      <c r="A24" s="595"/>
      <c r="B24" s="699"/>
      <c r="C24" s="254" t="s">
        <v>361</v>
      </c>
      <c r="D24" s="249"/>
      <c r="E24" s="250"/>
      <c r="F24" s="249"/>
      <c r="G24" s="251"/>
      <c r="H24" s="251"/>
      <c r="I24" s="251"/>
      <c r="J24" s="251"/>
      <c r="K24" s="251"/>
      <c r="L24" s="251"/>
      <c r="M24" s="251"/>
      <c r="N24" s="251"/>
      <c r="O24" s="251"/>
      <c r="P24" s="700"/>
      <c r="Q24" s="595"/>
      <c r="R24" s="247"/>
      <c r="S24" s="247"/>
      <c r="T24" s="247"/>
      <c r="U24" s="247"/>
      <c r="V24" s="247"/>
      <c r="W24" s="247"/>
      <c r="X24" s="247"/>
      <c r="Y24" s="247"/>
      <c r="Z24" s="247"/>
    </row>
    <row r="25" spans="1:26" s="248" customFormat="1" ht="6.6" customHeight="1">
      <c r="A25" s="595"/>
      <c r="B25" s="699"/>
      <c r="C25" s="254"/>
      <c r="D25" s="249"/>
      <c r="E25" s="250"/>
      <c r="F25" s="249"/>
      <c r="G25" s="251"/>
      <c r="H25" s="251"/>
      <c r="I25" s="251"/>
      <c r="J25" s="251"/>
      <c r="K25" s="251"/>
      <c r="L25" s="251"/>
      <c r="M25" s="251"/>
      <c r="N25" s="251"/>
      <c r="O25" s="251"/>
      <c r="P25" s="700"/>
      <c r="Q25" s="595"/>
      <c r="R25" s="247"/>
      <c r="S25" s="247"/>
      <c r="T25" s="247"/>
      <c r="U25" s="247"/>
      <c r="V25" s="247"/>
      <c r="W25" s="247"/>
      <c r="X25" s="247"/>
      <c r="Y25" s="247"/>
      <c r="Z25" s="247"/>
    </row>
    <row r="26" spans="1:26" s="248" customFormat="1" ht="15.6" customHeight="1">
      <c r="A26" s="595"/>
      <c r="B26" s="699"/>
      <c r="C26" s="251"/>
      <c r="D26" s="249"/>
      <c r="E26" s="250"/>
      <c r="F26" s="249"/>
      <c r="G26" s="255" t="s">
        <v>74</v>
      </c>
      <c r="H26" s="251"/>
      <c r="I26" s="353">
        <f>IF(ISERROR(1/'Reporting Worksheet'!G19),"",('Reporting Worksheet'!G25+'Reporting Worksheet'!G26+'Reporting Worksheet'!G47+'Reporting Worksheet'!G52)/'Reporting Worksheet'!G19)</f>
        <v>6.6175956447907386E-2</v>
      </c>
      <c r="J26" s="256"/>
      <c r="K26" s="256"/>
      <c r="L26" s="256"/>
      <c r="M26" s="256"/>
      <c r="N26" s="251"/>
      <c r="O26" s="251"/>
      <c r="P26" s="700"/>
      <c r="Q26" s="595"/>
      <c r="R26" s="257"/>
      <c r="S26" s="247"/>
      <c r="T26" s="775"/>
      <c r="U26" s="247"/>
      <c r="V26" s="247"/>
      <c r="W26" s="247"/>
      <c r="X26" s="247"/>
      <c r="Y26" s="247"/>
      <c r="Z26" s="247"/>
    </row>
    <row r="27" spans="1:26" s="248" customFormat="1" ht="5.45" customHeight="1">
      <c r="A27" s="595"/>
      <c r="B27" s="699"/>
      <c r="C27" s="251"/>
      <c r="D27" s="249"/>
      <c r="E27" s="250"/>
      <c r="F27" s="249"/>
      <c r="G27" s="255"/>
      <c r="H27" s="255"/>
      <c r="I27" s="255"/>
      <c r="J27" s="256"/>
      <c r="K27" s="256"/>
      <c r="L27" s="256"/>
      <c r="M27" s="256"/>
      <c r="N27" s="251"/>
      <c r="O27" s="251"/>
      <c r="P27" s="700"/>
      <c r="Q27" s="595"/>
      <c r="R27" s="257"/>
      <c r="S27" s="247"/>
      <c r="T27" s="247"/>
      <c r="U27" s="247"/>
      <c r="V27" s="247"/>
      <c r="W27" s="247"/>
      <c r="X27" s="247"/>
      <c r="Y27" s="247"/>
      <c r="Z27" s="247"/>
    </row>
    <row r="28" spans="1:26" s="248" customFormat="1" ht="15.6" customHeight="1">
      <c r="A28" s="595"/>
      <c r="B28" s="699"/>
      <c r="C28" s="251"/>
      <c r="D28" s="249"/>
      <c r="E28" s="250"/>
      <c r="F28" s="249"/>
      <c r="G28" s="255" t="s">
        <v>73</v>
      </c>
      <c r="H28" s="251"/>
      <c r="I28" s="353">
        <f>IF(ISERROR(1/'Reporting Worksheet'!G76),"",((('Reporting Worksheet'!G25+'Reporting Worksheet'!G26+'Reporting Worksheet'!G52)*IF(R21=FALSE,'Reporting Worksheet'!G78,'Reporting Worksheet'!G77*INDEX(Sheet1!B2:D4,MATCH(Instructions!D34,Sheet1!A2:A4,0),MATCH('Reporting Worksheet'!I77,Sheet1!B1:D1,0))))+('Reporting Worksheet'!G47*'Reporting Worksheet'!G77*INDEX(Sheet1!B2:D4,MATCH(Instructions!D34,Sheet1!A2:A4,0),MATCH('Reporting Worksheet'!I77,Sheet1!B1:D1,0))))/'Reporting Worksheet'!G76)</f>
        <v>1.2164879764507246E-2</v>
      </c>
      <c r="J28" s="256" t="str">
        <f>" Real Losses valued at "&amp;IF(R21=FALSE,"Variable Production Cost","Customer Retail Unit Cost")</f>
        <v xml:space="preserve"> Real Losses valued at Variable Production Cost</v>
      </c>
      <c r="K28" s="256"/>
      <c r="L28" s="256"/>
      <c r="M28" s="256"/>
      <c r="N28" s="251"/>
      <c r="O28" s="251"/>
      <c r="P28" s="700"/>
      <c r="Q28" s="595"/>
      <c r="R28" s="380"/>
      <c r="S28" s="247"/>
      <c r="T28" s="775"/>
      <c r="U28" s="247"/>
      <c r="V28" s="247"/>
      <c r="W28" s="247"/>
      <c r="X28" s="247"/>
      <c r="Y28" s="247"/>
      <c r="Z28" s="247"/>
    </row>
    <row r="29" spans="1:26" s="248" customFormat="1" ht="5.45" customHeight="1">
      <c r="A29" s="595"/>
      <c r="B29" s="699"/>
      <c r="C29" s="251"/>
      <c r="D29" s="249"/>
      <c r="E29" s="250"/>
      <c r="F29" s="249"/>
      <c r="G29" s="255"/>
      <c r="H29" s="255"/>
      <c r="I29" s="255"/>
      <c r="J29" s="256"/>
      <c r="K29" s="256"/>
      <c r="L29" s="256"/>
      <c r="M29" s="256"/>
      <c r="N29" s="251"/>
      <c r="O29" s="251"/>
      <c r="P29" s="700"/>
      <c r="Q29" s="595"/>
      <c r="R29" s="257"/>
      <c r="S29" s="247"/>
      <c r="T29" s="247"/>
      <c r="U29" s="247"/>
      <c r="V29" s="247"/>
      <c r="W29" s="247"/>
      <c r="X29" s="247"/>
      <c r="Y29" s="247"/>
      <c r="Z29" s="247"/>
    </row>
    <row r="30" spans="1:26" s="248" customFormat="1" ht="15.6" customHeight="1">
      <c r="A30" s="595"/>
      <c r="B30" s="699"/>
      <c r="C30" s="254"/>
      <c r="D30" s="249"/>
      <c r="E30" s="249"/>
      <c r="F30" s="249"/>
      <c r="G30" s="249"/>
      <c r="H30" s="249"/>
      <c r="I30" s="249"/>
      <c r="J30" s="249"/>
      <c r="K30" s="249"/>
      <c r="L30" s="249"/>
      <c r="M30" s="256"/>
      <c r="N30" s="251"/>
      <c r="O30" s="251"/>
      <c r="P30" s="700"/>
      <c r="Q30" s="595"/>
      <c r="R30" s="247"/>
      <c r="S30" s="247"/>
      <c r="T30" s="247"/>
      <c r="U30" s="247"/>
      <c r="V30" s="247"/>
      <c r="W30" s="247"/>
      <c r="X30" s="247"/>
      <c r="Y30" s="247"/>
      <c r="Z30" s="247"/>
    </row>
    <row r="31" spans="1:26" s="248" customFormat="1" ht="5.25" customHeight="1">
      <c r="A31" s="595"/>
      <c r="B31" s="699"/>
      <c r="C31" s="254"/>
      <c r="D31" s="249"/>
      <c r="E31" s="250"/>
      <c r="F31" s="249"/>
      <c r="G31" s="251"/>
      <c r="H31" s="251"/>
      <c r="I31" s="251"/>
      <c r="J31" s="251"/>
      <c r="K31" s="251"/>
      <c r="L31" s="251"/>
      <c r="M31" s="251"/>
      <c r="N31" s="251"/>
      <c r="O31" s="251"/>
      <c r="P31" s="700"/>
      <c r="Q31" s="595"/>
      <c r="R31" s="247"/>
      <c r="S31" s="247"/>
      <c r="T31" s="247"/>
      <c r="U31" s="247"/>
      <c r="V31" s="247"/>
      <c r="W31" s="247"/>
      <c r="X31" s="247"/>
      <c r="Y31" s="247"/>
      <c r="Z31" s="247"/>
    </row>
    <row r="32" spans="1:26" s="248" customFormat="1" ht="15.6" customHeight="1">
      <c r="A32" s="595"/>
      <c r="B32" s="699"/>
      <c r="C32" s="258"/>
      <c r="D32" s="258"/>
      <c r="E32" s="259"/>
      <c r="F32" s="258"/>
      <c r="G32" s="255" t="s">
        <v>113</v>
      </c>
      <c r="H32" s="251"/>
      <c r="I32" s="356">
        <f>IF(ISERROR(1/'Reporting Worksheet'!G63),"",IF(Instructions!$D$34="Acre-feet",'Reporting Worksheet'!G47*325851/1000000,'Reporting Worksheet'!G47)*1000000/365/'Reporting Worksheet'!G63)</f>
        <v>5.1185106369789484</v>
      </c>
      <c r="J32" s="256" t="str">
        <f>IF(ISBLANK(Instructions!$D$34),"",IF(Instructions!$D$34="Megalitres (thousand cubic metres)","litres","gallons")&amp;"/connection/day")</f>
        <v>gallons/connection/day</v>
      </c>
      <c r="K32" s="251"/>
      <c r="L32" s="251"/>
      <c r="M32" s="251"/>
      <c r="N32" s="251"/>
      <c r="O32" s="251"/>
      <c r="P32" s="700"/>
      <c r="Q32" s="595"/>
      <c r="R32" s="247"/>
      <c r="S32" s="247"/>
      <c r="T32" s="247"/>
      <c r="U32" s="247"/>
      <c r="V32" s="247"/>
      <c r="W32" s="247"/>
      <c r="X32" s="247"/>
      <c r="Y32" s="247"/>
      <c r="Z32" s="247"/>
    </row>
    <row r="33" spans="1:26" s="248" customFormat="1" ht="5.45" customHeight="1">
      <c r="A33" s="595"/>
      <c r="B33" s="699"/>
      <c r="C33" s="254"/>
      <c r="D33" s="249"/>
      <c r="E33" s="250"/>
      <c r="F33" s="249"/>
      <c r="G33" s="251"/>
      <c r="H33" s="251"/>
      <c r="I33" s="251"/>
      <c r="J33" s="251"/>
      <c r="K33" s="251"/>
      <c r="L33" s="251"/>
      <c r="M33" s="251"/>
      <c r="N33" s="251"/>
      <c r="O33" s="251"/>
      <c r="P33" s="700"/>
      <c r="Q33" s="595"/>
      <c r="R33" s="247"/>
      <c r="S33" s="247"/>
      <c r="T33" s="247"/>
      <c r="U33" s="247"/>
      <c r="V33" s="247"/>
      <c r="W33" s="247"/>
      <c r="X33" s="247"/>
      <c r="Y33" s="247"/>
      <c r="Z33" s="247"/>
    </row>
    <row r="34" spans="1:26" s="248" customFormat="1" ht="15.75">
      <c r="A34" s="595"/>
      <c r="B34" s="699"/>
      <c r="C34" s="249"/>
      <c r="D34" s="249"/>
      <c r="E34" s="250"/>
      <c r="F34" s="249"/>
      <c r="G34" s="255" t="s">
        <v>366</v>
      </c>
      <c r="H34" s="251"/>
      <c r="I34" s="357">
        <f>IF(ISERROR(1/'Reporting Worksheet'!G63),"",IF(Instructions!$D$34="Megalitres (thousand cubic metres)",IF('Reporting Worksheet'!G64&gt;20,'Reporting Worksheet'!G52*1000000/365/'Reporting Worksheet'!G63,"N/A"),IF('Reporting Worksheet'!G64&gt;32,IF(Instructions!$D$34="Million gallons (US)",'Reporting Worksheet'!G52*1000000,'Reporting Worksheet'!G52*325851)/365/'Reporting Worksheet'!G63,"N/A")))</f>
        <v>14.33497763093726</v>
      </c>
      <c r="J34" s="256" t="str">
        <f>IF(ISBLANK(Instructions!$D$34),"",IF(Instructions!$D$34="Megalitres (thousand cubic metres)","litres","gallons")&amp;"/connection/day")</f>
        <v>gallons/connection/day</v>
      </c>
      <c r="K34" s="251"/>
      <c r="L34" s="251"/>
      <c r="M34" s="251"/>
      <c r="N34" s="251"/>
      <c r="O34" s="251"/>
      <c r="P34" s="700"/>
      <c r="Q34" s="595"/>
      <c r="R34" s="247"/>
      <c r="S34" s="247"/>
      <c r="T34" s="247"/>
      <c r="U34" s="247"/>
      <c r="V34" s="247"/>
      <c r="W34" s="247"/>
      <c r="X34" s="247"/>
      <c r="Y34" s="247"/>
      <c r="Z34" s="247"/>
    </row>
    <row r="35" spans="1:26" s="248" customFormat="1" ht="5.45" customHeight="1">
      <c r="A35" s="595"/>
      <c r="B35" s="699"/>
      <c r="C35" s="249"/>
      <c r="D35" s="249"/>
      <c r="E35" s="250"/>
      <c r="F35" s="249"/>
      <c r="G35" s="251"/>
      <c r="H35" s="251"/>
      <c r="I35" s="260"/>
      <c r="J35" s="260"/>
      <c r="K35" s="260"/>
      <c r="L35" s="251"/>
      <c r="M35" s="251"/>
      <c r="N35" s="251"/>
      <c r="O35" s="251"/>
      <c r="P35" s="700"/>
      <c r="Q35" s="595"/>
      <c r="R35" s="247"/>
      <c r="S35" s="247"/>
      <c r="T35" s="247"/>
      <c r="U35" s="247"/>
      <c r="V35" s="247"/>
      <c r="W35" s="247"/>
      <c r="X35" s="247"/>
      <c r="Y35" s="247"/>
      <c r="Z35" s="247"/>
    </row>
    <row r="36" spans="1:26" s="248" customFormat="1" ht="15.75">
      <c r="A36" s="595"/>
      <c r="B36" s="699"/>
      <c r="C36" s="249"/>
      <c r="D36" s="249"/>
      <c r="E36" s="250"/>
      <c r="F36" s="249"/>
      <c r="G36" s="255" t="s">
        <v>115</v>
      </c>
      <c r="H36" s="251"/>
      <c r="I36" s="357" t="str">
        <f>IF(ISERROR(1/'Reporting Worksheet'!G62),"",IF(I34="N/A",IF(Instructions!$D$34="Acre-feet",'Reporting Worksheet'!G52*325851/1000000,'Reporting Worksheet'!G52)*1000000/365/'Reporting Worksheet'!G62,"N/A"))</f>
        <v>N/A</v>
      </c>
      <c r="J36" s="256" t="str">
        <f>IF(ISBLANK(Instructions!$D$34),"",IF(I36="N/A","",IF(Instructions!$D$34="Megalitres (thousand cubic metres)","litres/km","gallons/mile")&amp;"/day"))</f>
        <v/>
      </c>
      <c r="K36" s="251"/>
      <c r="L36" s="251"/>
      <c r="M36" s="251"/>
      <c r="N36" s="251"/>
      <c r="O36" s="251"/>
      <c r="P36" s="700"/>
      <c r="Q36" s="595"/>
      <c r="R36" s="247"/>
      <c r="S36" s="247"/>
      <c r="T36" s="247"/>
      <c r="U36" s="247"/>
      <c r="V36" s="247"/>
      <c r="W36" s="247"/>
      <c r="X36" s="247"/>
      <c r="Y36" s="247"/>
      <c r="Z36" s="247"/>
    </row>
    <row r="37" spans="1:26" s="248" customFormat="1" ht="5.45" customHeight="1">
      <c r="A37" s="595"/>
      <c r="B37" s="699"/>
      <c r="C37" s="249"/>
      <c r="D37" s="249"/>
      <c r="E37" s="250"/>
      <c r="F37" s="249"/>
      <c r="G37" s="251"/>
      <c r="H37" s="251"/>
      <c r="I37" s="260"/>
      <c r="J37" s="260"/>
      <c r="K37" s="260"/>
      <c r="L37" s="251"/>
      <c r="M37" s="251"/>
      <c r="N37" s="251"/>
      <c r="O37" s="251"/>
      <c r="P37" s="700"/>
      <c r="Q37" s="595"/>
      <c r="R37" s="247"/>
      <c r="S37" s="247"/>
      <c r="T37" s="247"/>
      <c r="U37" s="247"/>
      <c r="V37" s="247"/>
      <c r="W37" s="247"/>
      <c r="X37" s="247"/>
      <c r="Y37" s="247"/>
      <c r="Z37" s="247"/>
    </row>
    <row r="38" spans="1:26" s="248" customFormat="1" ht="15.75">
      <c r="A38" s="595"/>
      <c r="B38" s="699"/>
      <c r="C38" s="249"/>
      <c r="D38" s="249"/>
      <c r="E38" s="250"/>
      <c r="F38" s="249"/>
      <c r="G38" s="255" t="str">
        <f>"Real Losses per service connection per day per "&amp; IF('Reporting Worksheet'!I69="psi","psi pressure","meter (head) pressure")&amp;":"</f>
        <v>Real Losses per service connection per day per psi pressure:</v>
      </c>
      <c r="H38" s="251"/>
      <c r="I38" s="357">
        <f>IF(I34="N/A","N/A",IF(ISERROR(I34/'Reporting Worksheet'!G69),"",I34/'Reporting Worksheet'!G69))</f>
        <v>0.19909691154079528</v>
      </c>
      <c r="J38" s="256" t="str">
        <f>IF(ISBLANK(Instructions!$D$34),"",IF(Instructions!$D$34="Megalitres (thousand cubic metres)","litres/connection/day/m","gallons/connection/day/psi"))</f>
        <v>gallons/connection/day/psi</v>
      </c>
      <c r="K38" s="251"/>
      <c r="L38" s="251"/>
      <c r="M38" s="251"/>
      <c r="N38" s="251"/>
      <c r="O38" s="251"/>
      <c r="P38" s="700"/>
      <c r="Q38" s="595"/>
      <c r="R38" s="247"/>
      <c r="S38" s="247"/>
      <c r="T38" s="247"/>
      <c r="U38" s="247"/>
      <c r="V38" s="247"/>
      <c r="W38" s="247"/>
      <c r="X38" s="247"/>
      <c r="Y38" s="247"/>
      <c r="Z38" s="247"/>
    </row>
    <row r="39" spans="1:26" s="248" customFormat="1" ht="8.25" customHeight="1">
      <c r="A39" s="595"/>
      <c r="B39" s="699"/>
      <c r="C39" s="249"/>
      <c r="D39" s="249"/>
      <c r="E39" s="250"/>
      <c r="F39" s="249"/>
      <c r="G39" s="261"/>
      <c r="H39" s="251"/>
      <c r="I39" s="262"/>
      <c r="J39" s="262"/>
      <c r="K39" s="262"/>
      <c r="L39" s="251"/>
      <c r="M39" s="251"/>
      <c r="N39" s="251"/>
      <c r="O39" s="251"/>
      <c r="P39" s="700"/>
      <c r="Q39" s="595"/>
      <c r="R39" s="247"/>
      <c r="S39" s="247"/>
      <c r="T39" s="247"/>
      <c r="U39" s="247"/>
      <c r="V39" s="247"/>
      <c r="W39" s="247"/>
      <c r="X39" s="247"/>
      <c r="Y39" s="247"/>
      <c r="Z39" s="247"/>
    </row>
    <row r="40" spans="1:26" s="248" customFormat="1" ht="2.25" customHeight="1">
      <c r="A40" s="595"/>
      <c r="B40" s="699"/>
      <c r="C40" s="249"/>
      <c r="D40" s="249"/>
      <c r="E40" s="249"/>
      <c r="F40" s="249"/>
      <c r="G40" s="249"/>
      <c r="H40" s="249"/>
      <c r="I40" s="249"/>
      <c r="J40" s="249"/>
      <c r="K40" s="249"/>
      <c r="L40" s="249"/>
      <c r="M40" s="249"/>
      <c r="N40" s="249"/>
      <c r="O40" s="249"/>
      <c r="P40" s="700"/>
      <c r="Q40" s="595"/>
      <c r="R40" s="247"/>
      <c r="S40" s="247"/>
      <c r="T40" s="247"/>
      <c r="U40" s="247"/>
      <c r="V40" s="247"/>
      <c r="W40" s="247"/>
      <c r="X40" s="247"/>
      <c r="Y40" s="247"/>
      <c r="Z40" s="247"/>
    </row>
    <row r="41" spans="1:26" s="248" customFormat="1" ht="13.5" customHeight="1">
      <c r="A41" s="595"/>
      <c r="B41" s="699"/>
      <c r="C41" s="853" t="str">
        <f>IF(I17="Not Valid","*** UARL cannot be calculated as either average pressure, number of connections or length of mains is too small: SEE UARL DEFINITION ***","")</f>
        <v/>
      </c>
      <c r="D41" s="854"/>
      <c r="E41" s="854"/>
      <c r="F41" s="854"/>
      <c r="G41" s="854"/>
      <c r="H41" s="854"/>
      <c r="I41" s="854"/>
      <c r="J41" s="854"/>
      <c r="K41" s="854"/>
      <c r="L41" s="854"/>
      <c r="M41" s="854"/>
      <c r="N41" s="854"/>
      <c r="O41" s="854"/>
      <c r="P41" s="700"/>
      <c r="Q41" s="595"/>
      <c r="R41" s="247"/>
      <c r="S41" s="247"/>
      <c r="T41" s="247"/>
      <c r="U41" s="247"/>
      <c r="V41" s="247"/>
      <c r="W41" s="247"/>
      <c r="X41" s="247"/>
      <c r="Y41" s="247"/>
      <c r="Z41" s="247"/>
    </row>
    <row r="42" spans="1:26" s="248" customFormat="1" ht="2.25" customHeight="1">
      <c r="A42" s="595"/>
      <c r="B42" s="699"/>
      <c r="C42" s="667"/>
      <c r="D42" s="667"/>
      <c r="E42" s="667"/>
      <c r="F42" s="667"/>
      <c r="G42" s="667"/>
      <c r="H42" s="667"/>
      <c r="I42" s="667"/>
      <c r="J42" s="667"/>
      <c r="K42" s="667"/>
      <c r="L42" s="667"/>
      <c r="M42" s="667"/>
      <c r="N42" s="667"/>
      <c r="O42" s="667"/>
      <c r="P42" s="700"/>
      <c r="Q42" s="595"/>
      <c r="R42" s="247"/>
      <c r="S42" s="247"/>
      <c r="T42" s="247"/>
      <c r="U42" s="247"/>
      <c r="V42" s="247"/>
      <c r="W42" s="247"/>
      <c r="X42" s="247"/>
      <c r="Y42" s="247"/>
      <c r="Z42" s="247"/>
    </row>
    <row r="43" spans="1:26" s="248" customFormat="1" ht="15.6" customHeight="1">
      <c r="A43" s="595"/>
      <c r="B43" s="699"/>
      <c r="C43" s="263"/>
      <c r="D43" s="263"/>
      <c r="E43" s="263"/>
      <c r="F43" s="263"/>
      <c r="G43" s="264" t="s">
        <v>80</v>
      </c>
      <c r="H43" s="265"/>
      <c r="I43" s="358">
        <f>IF(ISBLANK(Instructions!$D$34),"",'Reporting Worksheet'!G52)</f>
        <v>32.000543964646482</v>
      </c>
      <c r="J43" s="263" t="str">
        <f>IF(OR(ISBLANK(Instructions!$D$34),I17="Not Valid"),"",IF(Instructions!$D$34="Megalitres (thousand cubic metres)","ML",IF(Instructions!$D$34="Acre-feet", "acre-feet","million gallons"))&amp;"/year")</f>
        <v>million gallons/year</v>
      </c>
      <c r="K43" s="265"/>
      <c r="L43" s="265"/>
      <c r="M43" s="265"/>
      <c r="N43" s="265"/>
      <c r="O43" s="265"/>
      <c r="P43" s="700"/>
      <c r="Q43" s="595"/>
      <c r="R43" s="247"/>
      <c r="S43" s="247"/>
      <c r="T43" s="247"/>
      <c r="U43" s="247"/>
      <c r="V43" s="247"/>
      <c r="W43" s="247"/>
      <c r="X43" s="247"/>
      <c r="Y43" s="247"/>
      <c r="Z43" s="247"/>
    </row>
    <row r="44" spans="1:26" s="248" customFormat="1" ht="8.25" customHeight="1">
      <c r="A44" s="595"/>
      <c r="B44" s="699"/>
      <c r="C44" s="667"/>
      <c r="D44" s="667"/>
      <c r="E44" s="667"/>
      <c r="F44" s="667"/>
      <c r="G44" s="667"/>
      <c r="H44" s="667"/>
      <c r="I44" s="667"/>
      <c r="J44" s="667"/>
      <c r="K44" s="667"/>
      <c r="L44" s="667"/>
      <c r="M44" s="667"/>
      <c r="N44" s="667"/>
      <c r="O44" s="667"/>
      <c r="P44" s="700"/>
      <c r="Q44" s="595"/>
      <c r="R44" s="247"/>
      <c r="S44" s="247"/>
      <c r="T44" s="247"/>
      <c r="U44" s="247"/>
      <c r="V44" s="247"/>
      <c r="W44" s="247"/>
      <c r="X44" s="247"/>
      <c r="Y44" s="247"/>
      <c r="Z44" s="247"/>
    </row>
    <row r="45" spans="1:26" s="248" customFormat="1" ht="15.6" customHeight="1">
      <c r="A45" s="595"/>
      <c r="B45" s="699"/>
      <c r="C45" s="855" t="s">
        <v>79</v>
      </c>
      <c r="D45" s="855"/>
      <c r="E45" s="855"/>
      <c r="F45" s="855"/>
      <c r="G45" s="855"/>
      <c r="H45" s="266"/>
      <c r="I45" s="360">
        <f>IF(ISERROR(1/I17),"",I43/I17)</f>
        <v>0.891490238945847</v>
      </c>
      <c r="J45" s="256"/>
      <c r="K45" s="267"/>
      <c r="L45" s="267"/>
      <c r="M45" s="267"/>
      <c r="N45" s="251"/>
      <c r="O45" s="251"/>
      <c r="P45" s="700"/>
      <c r="Q45" s="595"/>
      <c r="R45" s="247"/>
      <c r="S45" s="247"/>
      <c r="T45" s="247"/>
      <c r="U45" s="247"/>
      <c r="V45" s="247"/>
      <c r="W45" s="247"/>
      <c r="X45" s="247"/>
      <c r="Y45" s="247"/>
      <c r="Z45" s="247"/>
    </row>
    <row r="46" spans="1:26" s="248" customFormat="1" ht="28.9" customHeight="1" thickBot="1">
      <c r="A46" s="595"/>
      <c r="B46" s="701"/>
      <c r="C46" s="702" t="str">
        <f>"* This performance indicator applies for systems with a low service connection density of less than "&amp;IF(Instructions!D34="Megalitres (thousand cubic metres)",20,32)&amp;" service connections/"&amp;IF(Instructions!D34="Megalitres (thousand cubic metres)","kilometre","mile")&amp;" of pipeline"</f>
        <v>* This performance indicator applies for systems with a low service connection density of less than 32 service connections/mile of pipeline</v>
      </c>
      <c r="D46" s="703"/>
      <c r="E46" s="704"/>
      <c r="F46" s="703"/>
      <c r="G46" s="703"/>
      <c r="H46" s="705"/>
      <c r="I46" s="705"/>
      <c r="J46" s="705"/>
      <c r="K46" s="705"/>
      <c r="L46" s="705"/>
      <c r="M46" s="706"/>
      <c r="N46" s="705"/>
      <c r="O46" s="705"/>
      <c r="P46" s="707"/>
      <c r="Q46" s="595"/>
      <c r="R46" s="247"/>
      <c r="S46" s="247"/>
      <c r="T46" s="247"/>
      <c r="U46" s="247"/>
      <c r="V46" s="247"/>
      <c r="W46" s="247"/>
      <c r="X46" s="247"/>
      <c r="Y46" s="247"/>
      <c r="Z46" s="247"/>
    </row>
    <row r="47" spans="1:26" s="247" customFormat="1" ht="8.4499999999999993" customHeight="1" thickTop="1">
      <c r="A47" s="595"/>
      <c r="B47" s="599"/>
      <c r="C47" s="597"/>
      <c r="D47" s="597"/>
      <c r="E47" s="598"/>
      <c r="F47" s="597"/>
      <c r="G47" s="597"/>
      <c r="H47" s="599"/>
      <c r="I47" s="599"/>
      <c r="J47" s="599"/>
      <c r="K47" s="599"/>
      <c r="L47" s="599"/>
      <c r="M47" s="600"/>
      <c r="N47" s="599"/>
      <c r="O47" s="599"/>
      <c r="P47" s="599"/>
      <c r="Q47" s="595"/>
    </row>
    <row r="48" spans="1:26" ht="0" hidden="1" customHeight="1"/>
    <row r="49" ht="0" hidden="1" customHeight="1"/>
    <row r="50" ht="0" hidden="1" customHeight="1"/>
    <row r="51" ht="0" hidden="1" customHeight="1"/>
    <row r="52" ht="0" hidden="1" customHeight="1"/>
    <row r="53" ht="0" hidden="1" customHeight="1"/>
    <row r="54" ht="0" hidden="1" customHeight="1"/>
    <row r="55" ht="0" hidden="1" customHeight="1"/>
    <row r="56" ht="0" hidden="1" customHeight="1"/>
    <row r="57" ht="0" hidden="1" customHeight="1"/>
    <row r="58" ht="0" hidden="1" customHeight="1"/>
    <row r="59" ht="0" hidden="1" customHeight="1"/>
    <row r="60" ht="0" hidden="1" customHeight="1"/>
    <row r="61" ht="0" hidden="1" customHeight="1"/>
    <row r="62" ht="0" hidden="1" customHeight="1"/>
    <row r="63" ht="0" hidden="1" customHeight="1"/>
    <row r="64"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row r="81" ht="0" hidden="1" customHeight="1"/>
    <row r="82" ht="0" hidden="1" customHeight="1"/>
    <row r="83" ht="0" hidden="1" customHeight="1"/>
    <row r="84" ht="0" hidden="1" customHeight="1"/>
    <row r="85" ht="0" hidden="1" customHeight="1"/>
    <row r="86" ht="0" hidden="1" customHeight="1"/>
    <row r="87" ht="0" hidden="1" customHeight="1"/>
    <row r="88" ht="0" hidden="1" customHeight="1"/>
    <row r="89" ht="0" hidden="1" customHeight="1"/>
    <row r="90" ht="0" hidden="1" customHeight="1"/>
    <row r="91" ht="0" hidden="1" customHeight="1"/>
    <row r="92" ht="0" hidden="1" customHeight="1"/>
    <row r="93" ht="15.75" hidden="1"/>
    <row r="94" ht="15.75" hidden="1"/>
    <row r="95" ht="15.75" hidden="1"/>
    <row r="96" ht="15.75" hidden="1"/>
    <row r="97" ht="15.75" hidden="1"/>
    <row r="98" ht="15.75" hidden="1"/>
    <row r="99" ht="15.75" hidden="1"/>
    <row r="100" ht="15.75" hidden="1"/>
    <row r="101" ht="15.75" hidden="1"/>
    <row r="102" ht="15.75" hidden="1"/>
    <row r="103" ht="15.75" hidden="1"/>
    <row r="104" ht="15.75" hidden="1"/>
    <row r="105" ht="15.75" hidden="1"/>
    <row r="106" ht="15.75" hidden="1"/>
    <row r="107" ht="15.75" hidden="1"/>
    <row r="108" ht="15.75" hidden="1"/>
    <row r="109" ht="15.75" hidden="1"/>
    <row r="110" ht="15.75" hidden="1"/>
    <row r="111" ht="15.75" hidden="1"/>
    <row r="112" ht="15.75" hidden="1"/>
    <row r="113" spans="5:5" ht="15.75" hidden="1"/>
    <row r="114" spans="5:5" ht="15.75" hidden="1"/>
    <row r="115" spans="5:5" ht="15.75" hidden="1"/>
    <row r="116" spans="5:5" ht="15.75" hidden="1"/>
    <row r="117" spans="5:5" ht="15.75" hidden="1"/>
    <row r="118" spans="5:5" ht="15.75" hidden="1"/>
    <row r="119" spans="5:5" ht="15.75" hidden="1"/>
    <row r="120" spans="5:5" s="269" customFormat="1" ht="15.6" hidden="1" customHeight="1">
      <c r="E120" s="271"/>
    </row>
    <row r="121" spans="5:5" s="269" customFormat="1" ht="13.9" hidden="1" customHeight="1">
      <c r="E121" s="271"/>
    </row>
    <row r="122" spans="5:5" s="269" customFormat="1" ht="13.9" hidden="1" customHeight="1">
      <c r="E122" s="271"/>
    </row>
    <row r="123" spans="5:5" s="269" customFormat="1" ht="13.9" hidden="1" customHeight="1">
      <c r="E123" s="271"/>
    </row>
    <row r="124" spans="5:5" s="269" customFormat="1" ht="13.9" hidden="1" customHeight="1">
      <c r="E124" s="271"/>
    </row>
    <row r="125" spans="5:5" s="269" customFormat="1" ht="13.9" hidden="1" customHeight="1">
      <c r="E125" s="271"/>
    </row>
    <row r="126" spans="5:5" s="269" customFormat="1" ht="13.9" hidden="1" customHeight="1">
      <c r="E126" s="271"/>
    </row>
    <row r="127" spans="5:5" s="269" customFormat="1" ht="13.9" hidden="1" customHeight="1">
      <c r="E127" s="271"/>
    </row>
    <row r="128" spans="5:5" s="269" customFormat="1" ht="13.9" hidden="1" customHeight="1">
      <c r="E128" s="271"/>
    </row>
    <row r="129" spans="5:5" s="269" customFormat="1" ht="13.9" hidden="1" customHeight="1">
      <c r="E129" s="271"/>
    </row>
    <row r="130" spans="5:5" s="269" customFormat="1" ht="13.9" hidden="1" customHeight="1">
      <c r="E130" s="271"/>
    </row>
    <row r="131" spans="5:5" s="269" customFormat="1" ht="13.9" hidden="1" customHeight="1">
      <c r="E131" s="271"/>
    </row>
    <row r="132" spans="5:5" s="269" customFormat="1" ht="13.9" hidden="1" customHeight="1">
      <c r="E132" s="271"/>
    </row>
    <row r="133" spans="5:5" s="269" customFormat="1" ht="13.9" hidden="1" customHeight="1">
      <c r="E133" s="271"/>
    </row>
    <row r="134" spans="5:5" s="269" customFormat="1" ht="13.9" hidden="1" customHeight="1">
      <c r="E134" s="271"/>
    </row>
    <row r="135" spans="5:5" s="269" customFormat="1" ht="13.9" hidden="1" customHeight="1">
      <c r="E135" s="271"/>
    </row>
    <row r="136" spans="5:5" s="269" customFormat="1" ht="13.9" hidden="1" customHeight="1">
      <c r="E136" s="271"/>
    </row>
    <row r="137" spans="5:5" s="269" customFormat="1" ht="13.9" hidden="1" customHeight="1">
      <c r="E137" s="271"/>
    </row>
    <row r="138" spans="5:5" s="269" customFormat="1" ht="13.9" hidden="1" customHeight="1">
      <c r="E138" s="271"/>
    </row>
    <row r="139" spans="5:5" s="269" customFormat="1" ht="13.9" hidden="1" customHeight="1">
      <c r="E139" s="271"/>
    </row>
    <row r="140" spans="5:5" s="269" customFormat="1" ht="13.9" hidden="1" customHeight="1">
      <c r="E140" s="271"/>
    </row>
    <row r="141" spans="5:5" s="269" customFormat="1" ht="13.9" hidden="1" customHeight="1">
      <c r="E141" s="271"/>
    </row>
    <row r="142" spans="5:5" s="269" customFormat="1" ht="13.9" hidden="1" customHeight="1">
      <c r="E142" s="271"/>
    </row>
    <row r="143" spans="5:5" s="269" customFormat="1" ht="13.9" hidden="1" customHeight="1">
      <c r="E143" s="271"/>
    </row>
    <row r="144" spans="5:5" s="269" customFormat="1" ht="13.9" hidden="1" customHeight="1">
      <c r="E144" s="271"/>
    </row>
    <row r="145" spans="5:5" s="269" customFormat="1" ht="13.9" hidden="1" customHeight="1">
      <c r="E145" s="271"/>
    </row>
    <row r="146" spans="5:5" s="269" customFormat="1" ht="13.9" hidden="1" customHeight="1">
      <c r="E146" s="271"/>
    </row>
    <row r="147" spans="5:5" s="269" customFormat="1" ht="13.9" hidden="1" customHeight="1">
      <c r="E147" s="271"/>
    </row>
    <row r="148" spans="5:5" s="269" customFormat="1" ht="13.9" hidden="1" customHeight="1">
      <c r="E148" s="271"/>
    </row>
    <row r="149" spans="5:5" s="269" customFormat="1" ht="13.9" hidden="1" customHeight="1">
      <c r="E149" s="271"/>
    </row>
    <row r="150" spans="5:5" s="269" customFormat="1" ht="13.9" hidden="1" customHeight="1">
      <c r="E150" s="271"/>
    </row>
    <row r="151" spans="5:5" s="269" customFormat="1" ht="13.9" hidden="1" customHeight="1">
      <c r="E151" s="271"/>
    </row>
    <row r="152" spans="5:5" s="269" customFormat="1" ht="13.9" hidden="1" customHeight="1">
      <c r="E152" s="271"/>
    </row>
    <row r="153" spans="5:5" s="269" customFormat="1" ht="13.9" hidden="1" customHeight="1">
      <c r="E153" s="271"/>
    </row>
    <row r="154" spans="5:5" s="269" customFormat="1" ht="13.9" hidden="1" customHeight="1">
      <c r="E154" s="271"/>
    </row>
    <row r="155" spans="5:5" s="269" customFormat="1" ht="13.9" hidden="1" customHeight="1">
      <c r="E155" s="271"/>
    </row>
    <row r="156" spans="5:5" s="269" customFormat="1" ht="13.9" hidden="1" customHeight="1">
      <c r="E156" s="271"/>
    </row>
    <row r="157" spans="5:5" s="269" customFormat="1" ht="13.9" hidden="1" customHeight="1">
      <c r="E157" s="271"/>
    </row>
    <row r="158" spans="5:5" s="269" customFormat="1" ht="13.9" hidden="1" customHeight="1">
      <c r="E158" s="271"/>
    </row>
    <row r="159" spans="5:5" s="269" customFormat="1" ht="13.9" hidden="1" customHeight="1">
      <c r="E159" s="271"/>
    </row>
    <row r="160" spans="5:5" s="269" customFormat="1" ht="13.9" hidden="1" customHeight="1">
      <c r="E160" s="271"/>
    </row>
    <row r="161" spans="5:5" s="269" customFormat="1" ht="13.9" hidden="1" customHeight="1">
      <c r="E161" s="271"/>
    </row>
    <row r="162" spans="5:5" s="269" customFormat="1" ht="13.9" hidden="1" customHeight="1">
      <c r="E162" s="271"/>
    </row>
    <row r="163" spans="5:5" s="269" customFormat="1" ht="13.9" hidden="1" customHeight="1">
      <c r="E163" s="271"/>
    </row>
    <row r="164" spans="5:5" s="269" customFormat="1" ht="13.9" hidden="1" customHeight="1">
      <c r="E164" s="271"/>
    </row>
    <row r="165" spans="5:5" s="269" customFormat="1" ht="13.9" hidden="1" customHeight="1">
      <c r="E165" s="271"/>
    </row>
    <row r="166" spans="5:5" s="269" customFormat="1" ht="13.9" hidden="1" customHeight="1">
      <c r="E166" s="271"/>
    </row>
    <row r="167" spans="5:5" s="269" customFormat="1" ht="13.9" hidden="1" customHeight="1">
      <c r="E167" s="271"/>
    </row>
    <row r="168" spans="5:5" s="269" customFormat="1" ht="13.9" hidden="1" customHeight="1">
      <c r="E168" s="271"/>
    </row>
    <row r="169" spans="5:5" s="269" customFormat="1" ht="13.9" hidden="1" customHeight="1">
      <c r="E169" s="271"/>
    </row>
    <row r="170" spans="5:5" s="269" customFormat="1" ht="13.9" hidden="1" customHeight="1">
      <c r="E170" s="271"/>
    </row>
    <row r="171" spans="5:5" s="269" customFormat="1" ht="13.9" hidden="1" customHeight="1">
      <c r="E171" s="271"/>
    </row>
    <row r="172" spans="5:5" s="269" customFormat="1" ht="13.9" hidden="1" customHeight="1">
      <c r="E172" s="271"/>
    </row>
    <row r="173" spans="5:5" s="269" customFormat="1" ht="13.9" hidden="1" customHeight="1">
      <c r="E173" s="271"/>
    </row>
    <row r="174" spans="5:5" s="269" customFormat="1" ht="13.9" hidden="1" customHeight="1">
      <c r="E174" s="271"/>
    </row>
    <row r="175" spans="5:5" s="269" customFormat="1" ht="13.9" hidden="1" customHeight="1">
      <c r="E175" s="271"/>
    </row>
    <row r="176" spans="5:5" s="269" customFormat="1" ht="13.9" hidden="1" customHeight="1">
      <c r="E176" s="271"/>
    </row>
    <row r="177" spans="5:5" s="269" customFormat="1" ht="13.9" hidden="1" customHeight="1">
      <c r="E177" s="271"/>
    </row>
    <row r="178" spans="5:5" s="269" customFormat="1" ht="13.9" hidden="1" customHeight="1">
      <c r="E178" s="271"/>
    </row>
    <row r="179" spans="5:5" s="269" customFormat="1" ht="13.9" hidden="1" customHeight="1">
      <c r="E179" s="271"/>
    </row>
    <row r="180" spans="5:5" s="269" customFormat="1" ht="13.9" hidden="1" customHeight="1">
      <c r="E180" s="271"/>
    </row>
    <row r="181" spans="5:5" s="269" customFormat="1" ht="13.9" hidden="1" customHeight="1">
      <c r="E181" s="271"/>
    </row>
    <row r="182" spans="5:5" s="269" customFormat="1" ht="13.9" hidden="1" customHeight="1">
      <c r="E182" s="271"/>
    </row>
    <row r="183" spans="5:5" s="269" customFormat="1" ht="13.9" hidden="1" customHeight="1">
      <c r="E183" s="271"/>
    </row>
    <row r="184" spans="5:5" s="269" customFormat="1" ht="13.9" hidden="1" customHeight="1">
      <c r="E184" s="271"/>
    </row>
    <row r="185" spans="5:5" s="269" customFormat="1" ht="13.9" hidden="1" customHeight="1">
      <c r="E185" s="271"/>
    </row>
    <row r="186" spans="5:5" s="269" customFormat="1" ht="13.9" hidden="1" customHeight="1">
      <c r="E186" s="271"/>
    </row>
    <row r="187" spans="5:5" s="269" customFormat="1" ht="13.9" hidden="1" customHeight="1">
      <c r="E187" s="271"/>
    </row>
    <row r="188" spans="5:5" s="269" customFormat="1" ht="13.9" hidden="1" customHeight="1">
      <c r="E188" s="271"/>
    </row>
    <row r="189" spans="5:5" s="269" customFormat="1" ht="13.9" hidden="1" customHeight="1">
      <c r="E189" s="271"/>
    </row>
    <row r="190" spans="5:5" s="269" customFormat="1" ht="13.9" hidden="1" customHeight="1">
      <c r="E190" s="271"/>
    </row>
    <row r="191" spans="5:5" s="269" customFormat="1" ht="13.9" hidden="1" customHeight="1">
      <c r="E191" s="271"/>
    </row>
    <row r="192" spans="5:5" s="269" customFormat="1" ht="13.9" hidden="1" customHeight="1">
      <c r="E192" s="271"/>
    </row>
  </sheetData>
  <sheetProtection password="8B16" sheet="1" objects="1" scenarios="1"/>
  <mergeCells count="7">
    <mergeCell ref="B2:P2"/>
    <mergeCell ref="C9:O9"/>
    <mergeCell ref="C41:O41"/>
    <mergeCell ref="C45:G45"/>
    <mergeCell ref="D5:E5"/>
    <mergeCell ref="G5:H5"/>
    <mergeCell ref="J22:P23"/>
  </mergeCells>
  <conditionalFormatting sqref="C41:O41">
    <cfRule type="expression" dxfId="80" priority="105" stopIfTrue="1">
      <formula>$I$17="Not Valid"</formula>
    </cfRule>
  </conditionalFormatting>
  <conditionalFormatting sqref="I11 I13 I15 I17 I19 I21 I26 I28 I32 I34 I36 I38 I43 I45">
    <cfRule type="expression" dxfId="79" priority="2" stopIfTrue="1">
      <formula>OR($R$11&gt;0,$R$13=0)</formula>
    </cfRule>
  </conditionalFormatting>
  <conditionalFormatting sqref="C9:O9">
    <cfRule type="expression" dxfId="78" priority="1" stopIfTrue="1">
      <formula>$R$11&gt;0</formula>
    </cfRule>
  </conditionalFormatting>
  <printOptions horizontalCentered="1" verticalCentered="1" gridLines="1"/>
  <pageMargins left="0.36" right="0.37" top="0.49" bottom="0.42" header="0.22" footer="0.22"/>
  <pageSetup scale="86" orientation="landscape" horizontalDpi="1200" r:id="rId1"/>
  <headerFooter alignWithMargins="0">
    <oddFooter>&amp;CAWWA Free Water Audit Software v5.0&amp;R&amp;A      &amp;P</oddFooter>
  </headerFooter>
  <ignoredErrors>
    <ignoredError sqref="R11"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79998168889431442"/>
    <pageSetUpPr fitToPage="1"/>
  </sheetPr>
  <dimension ref="B1:C27"/>
  <sheetViews>
    <sheetView zoomScaleNormal="100" workbookViewId="0">
      <pane ySplit="7" topLeftCell="A8" activePane="bottomLeft" state="frozen"/>
      <selection activeCell="J22" sqref="J22:J25"/>
      <selection pane="bottomLeft" activeCell="C10" sqref="C10"/>
    </sheetView>
  </sheetViews>
  <sheetFormatPr defaultColWidth="19.42578125" defaultRowHeight="12.75"/>
  <cols>
    <col min="1" max="1" width="1.28515625" style="217" customWidth="1"/>
    <col min="2" max="2" width="30.85546875" style="217" customWidth="1"/>
    <col min="3" max="3" width="131.140625" style="217" customWidth="1"/>
    <col min="4" max="252" width="9.140625" style="217" customWidth="1"/>
    <col min="253" max="253" width="10.28515625" style="217" customWidth="1"/>
    <col min="254" max="16384" width="19.42578125" style="217"/>
  </cols>
  <sheetData>
    <row r="1" spans="2:3" s="713" customFormat="1" ht="7.15" customHeight="1" thickBot="1"/>
    <row r="2" spans="2:3" s="714" customFormat="1" ht="42" customHeight="1" thickBot="1">
      <c r="B2" s="863" t="s">
        <v>788</v>
      </c>
      <c r="C2" s="864"/>
    </row>
    <row r="3" spans="2:3" s="713" customFormat="1" ht="9" customHeight="1">
      <c r="B3" s="861" t="s">
        <v>708</v>
      </c>
      <c r="C3" s="861"/>
    </row>
    <row r="4" spans="2:3" s="713" customFormat="1" ht="8.4499999999999993" customHeight="1" thickBot="1">
      <c r="B4" s="862"/>
      <c r="C4" s="862"/>
    </row>
    <row r="5" spans="2:3" s="713" customFormat="1" ht="71.45" customHeight="1" thickBot="1">
      <c r="B5" s="379" t="s">
        <v>370</v>
      </c>
      <c r="C5" s="791"/>
    </row>
    <row r="6" spans="2:3" s="713" customFormat="1" ht="15" thickBot="1">
      <c r="B6" s="715"/>
      <c r="C6" s="715"/>
    </row>
    <row r="7" spans="2:3" s="713" customFormat="1" ht="15.75" customHeight="1">
      <c r="B7" s="219" t="s">
        <v>369</v>
      </c>
      <c r="C7" s="792" t="s">
        <v>340</v>
      </c>
    </row>
    <row r="8" spans="2:3" s="713" customFormat="1" ht="65.25" customHeight="1">
      <c r="B8" s="668" t="s">
        <v>152</v>
      </c>
      <c r="C8" s="793" t="s">
        <v>821</v>
      </c>
    </row>
    <row r="9" spans="2:3" s="713" customFormat="1" ht="53.25" customHeight="1">
      <c r="B9" s="668" t="s">
        <v>412</v>
      </c>
      <c r="C9" s="793" t="s">
        <v>822</v>
      </c>
    </row>
    <row r="10" spans="2:3" s="713" customFormat="1" ht="53.25" customHeight="1">
      <c r="B10" s="668" t="s">
        <v>6</v>
      </c>
      <c r="C10" s="793" t="s">
        <v>823</v>
      </c>
    </row>
    <row r="11" spans="2:3" s="713" customFormat="1" ht="53.25" customHeight="1">
      <c r="B11" s="668" t="s">
        <v>364</v>
      </c>
      <c r="C11" s="793" t="s">
        <v>824</v>
      </c>
    </row>
    <row r="12" spans="2:3" s="713" customFormat="1" ht="53.25" customHeight="1">
      <c r="B12" s="668" t="s">
        <v>7</v>
      </c>
      <c r="C12" s="793" t="s">
        <v>825</v>
      </c>
    </row>
    <row r="13" spans="2:3" s="713" customFormat="1" ht="53.25" customHeight="1">
      <c r="B13" s="668" t="s">
        <v>363</v>
      </c>
      <c r="C13" s="793" t="s">
        <v>826</v>
      </c>
    </row>
    <row r="14" spans="2:3" s="713" customFormat="1" ht="53.25" customHeight="1">
      <c r="B14" s="668" t="s">
        <v>153</v>
      </c>
      <c r="C14" s="793" t="s">
        <v>827</v>
      </c>
    </row>
    <row r="15" spans="2:3" s="713" customFormat="1" ht="53.25" customHeight="1">
      <c r="B15" s="668" t="s">
        <v>154</v>
      </c>
      <c r="C15" s="794" t="s">
        <v>828</v>
      </c>
    </row>
    <row r="16" spans="2:3" s="713" customFormat="1" ht="53.25" customHeight="1">
      <c r="B16" s="668" t="s">
        <v>155</v>
      </c>
      <c r="C16" s="793" t="s">
        <v>829</v>
      </c>
    </row>
    <row r="17" spans="2:3" s="713" customFormat="1" ht="53.25" customHeight="1">
      <c r="B17" s="668" t="s">
        <v>156</v>
      </c>
      <c r="C17" s="793" t="s">
        <v>830</v>
      </c>
    </row>
    <row r="18" spans="2:3" s="713" customFormat="1" ht="53.25" customHeight="1">
      <c r="B18" s="668" t="s">
        <v>157</v>
      </c>
      <c r="C18" s="794" t="s">
        <v>831</v>
      </c>
    </row>
    <row r="19" spans="2:3" s="713" customFormat="1" ht="53.25" customHeight="1">
      <c r="B19" s="668" t="s">
        <v>158</v>
      </c>
      <c r="C19" s="794" t="s">
        <v>832</v>
      </c>
    </row>
    <row r="20" spans="2:3" s="713" customFormat="1" ht="53.25" customHeight="1">
      <c r="B20" s="668" t="s">
        <v>5</v>
      </c>
      <c r="C20" s="794" t="s">
        <v>833</v>
      </c>
    </row>
    <row r="21" spans="2:3" s="713" customFormat="1" ht="53.25" customHeight="1">
      <c r="B21" s="668" t="s">
        <v>159</v>
      </c>
      <c r="C21" s="794" t="s">
        <v>834</v>
      </c>
    </row>
    <row r="22" spans="2:3" s="713" customFormat="1" ht="53.25" customHeight="1">
      <c r="B22" s="668" t="s">
        <v>149</v>
      </c>
      <c r="C22" s="793" t="s">
        <v>835</v>
      </c>
    </row>
    <row r="23" spans="2:3" s="713" customFormat="1" ht="25.5">
      <c r="B23" s="668" t="s">
        <v>250</v>
      </c>
      <c r="C23" s="794" t="s">
        <v>836</v>
      </c>
    </row>
    <row r="24" spans="2:3" s="713" customFormat="1" ht="53.25" customHeight="1">
      <c r="B24" s="668" t="s">
        <v>160</v>
      </c>
      <c r="C24" s="794" t="s">
        <v>837</v>
      </c>
    </row>
    <row r="25" spans="2:3" s="713" customFormat="1" ht="53.25" customHeight="1">
      <c r="B25" s="668" t="s">
        <v>161</v>
      </c>
      <c r="C25" s="793" t="s">
        <v>838</v>
      </c>
    </row>
    <row r="26" spans="2:3" s="713" customFormat="1" ht="89.25" customHeight="1">
      <c r="B26" s="668" t="s">
        <v>150</v>
      </c>
      <c r="C26" s="793" t="s">
        <v>839</v>
      </c>
    </row>
    <row r="27" spans="2:3" s="713" customFormat="1" ht="78" customHeight="1" thickBot="1">
      <c r="B27" s="669" t="s">
        <v>151</v>
      </c>
      <c r="C27" s="795" t="s">
        <v>840</v>
      </c>
    </row>
  </sheetData>
  <sheetProtection password="8B16" sheet="1" formatCells="0" formatColumns="0" formatRows="0"/>
  <mergeCells count="2">
    <mergeCell ref="B3:C4"/>
    <mergeCell ref="B2:C2"/>
  </mergeCells>
  <hyperlinks>
    <hyperlink ref="B8" location="'Reporting Worksheet'!G15" display="Volume from own sources:"/>
    <hyperlink ref="B9" location="'Reporting Worksheet'!N15" display="Vol. from own sources: Master meter error adjustment:"/>
    <hyperlink ref="B10" location="'Reporting Worksheet'!G16" display="Water imported:"/>
    <hyperlink ref="B12" location="'Reporting Worksheet'!G17" display="Water exported:"/>
    <hyperlink ref="B11" location="'Reporting Worksheet'!N16" display="Water imported: master meter error adjustment:"/>
    <hyperlink ref="B14" location="'Reporting Worksheet'!G23" display="Billed metered:"/>
    <hyperlink ref="B15" location="'Reporting Worksheet'!G24" display="Billed unmetered:"/>
    <hyperlink ref="B16" location="'Reporting Worksheet'!G25" display="Unbilled metered:"/>
    <hyperlink ref="B17" location="'Reporting Worksheet'!G26" display="Unbilled unmetered:"/>
    <hyperlink ref="B13" location="'Reporting Worksheet'!N17" display="Water exported meter error adjustment:"/>
    <hyperlink ref="B18" location="'Reporting Worksheet'!G38" display="Unauthorized consumption:"/>
    <hyperlink ref="B19" location="'Reporting Worksheet'!G42" display="Customer metering inaccuracies:"/>
    <hyperlink ref="B20" location="'Reporting Worksheet'!G43" display="Systematic data handling errors:"/>
    <hyperlink ref="B21" location="'Reporting Worksheet'!G62" display="Length of mains:"/>
    <hyperlink ref="B22" location="'Reporting Worksheet'!G63" display="Number of active AND inactive service connections:"/>
    <hyperlink ref="B23" location="'Reporting Worksheet'!G67" display="Average length of customer service line:"/>
    <hyperlink ref="B24" location="'Reporting Worksheet'!G69" display="Average operating pressure:"/>
    <hyperlink ref="B25" location="'Reporting Worksheet'!G76" display="Total annual cost of operating water system:"/>
    <hyperlink ref="B26" location="'Reporting Worksheet'!G77" display="Customer retail unit cost (applied to Apparent Losses):"/>
    <hyperlink ref="B27" location="'Reporting Worksheet'!G78" display="Variable production cost (applied to Real Losses):"/>
  </hyperlinks>
  <pageMargins left="0.25" right="0.25" top="0.5" bottom="0.5" header="0.3" footer="0.3"/>
  <pageSetup scale="82" fitToHeight="0" orientation="landscape" horizontalDpi="1200" verticalDpi="1200" r:id="rId1"/>
  <headerFooter>
    <oddFooter>&amp;CAWWA Free Water Audit Software v5.0&amp;R&amp;A     &amp;P</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3" tint="0.79998168889431442"/>
    <pageSetUpPr fitToPage="1"/>
  </sheetPr>
  <dimension ref="A1:P1006"/>
  <sheetViews>
    <sheetView showGridLines="0" showRowColHeaders="0" zoomScaleNormal="100" workbookViewId="0">
      <selection activeCell="B2" sqref="B2:G3"/>
    </sheetView>
  </sheetViews>
  <sheetFormatPr defaultColWidth="0" defaultRowHeight="13.5" zeroHeight="1"/>
  <cols>
    <col min="1" max="1" width="0.85546875" style="31" customWidth="1"/>
    <col min="2" max="2" width="18.5703125" style="31" customWidth="1"/>
    <col min="3" max="3" width="17.140625" style="31" customWidth="1"/>
    <col min="4" max="4" width="17.42578125" style="31" customWidth="1"/>
    <col min="5" max="5" width="33.28515625" style="31" customWidth="1"/>
    <col min="6" max="6" width="40.28515625" style="31" customWidth="1"/>
    <col min="7" max="7" width="19.7109375" style="31" customWidth="1"/>
    <col min="8" max="8" width="3.140625" style="31" customWidth="1"/>
    <col min="9" max="9" width="8.85546875" style="31" hidden="1" customWidth="1"/>
    <col min="10" max="10" width="28.5703125" style="31" hidden="1" customWidth="1"/>
    <col min="11" max="15" width="15.85546875" style="716" hidden="1" customWidth="1"/>
    <col min="16" max="16" width="15.85546875" style="31" hidden="1" customWidth="1"/>
    <col min="17" max="16384" width="8.85546875" style="31" hidden="1"/>
  </cols>
  <sheetData>
    <row r="1" spans="2:15" ht="3.75" customHeight="1" thickBot="1"/>
    <row r="2" spans="2:15" ht="24.6" customHeight="1" thickTop="1">
      <c r="B2" s="865" t="s">
        <v>728</v>
      </c>
      <c r="C2" s="866"/>
      <c r="D2" s="866"/>
      <c r="E2" s="866"/>
      <c r="F2" s="866"/>
      <c r="G2" s="866"/>
      <c r="H2" s="32"/>
    </row>
    <row r="3" spans="2:15" ht="18" customHeight="1">
      <c r="B3" s="867"/>
      <c r="C3" s="868"/>
      <c r="D3" s="868"/>
      <c r="E3" s="868"/>
      <c r="F3" s="868"/>
      <c r="G3" s="868"/>
      <c r="H3" s="32"/>
    </row>
    <row r="4" spans="2:15" ht="4.1500000000000004" customHeight="1">
      <c r="B4" s="753"/>
      <c r="C4" s="754"/>
      <c r="D4" s="754"/>
      <c r="E4" s="754"/>
      <c r="F4" s="755"/>
      <c r="G4" s="756"/>
      <c r="H4" s="32"/>
    </row>
    <row r="5" spans="2:15" ht="16.899999999999999" customHeight="1">
      <c r="B5" s="753"/>
      <c r="C5" s="754"/>
      <c r="D5" s="365" t="s">
        <v>193</v>
      </c>
      <c r="E5" s="877" t="str">
        <f>IF(ISBLANK(Instructions!D18),"&lt;&lt; Please enter system details and contact information on the Instructions tab &gt;&gt;",Instructions!D18&amp;IF(ISBLANK(Instructions!D36),"","  ("&amp;Instructions!D36&amp;")"))</f>
        <v>Sunnyslope County Water District  (CA3510003)</v>
      </c>
      <c r="F5" s="878"/>
      <c r="G5" s="756"/>
      <c r="H5" s="32"/>
    </row>
    <row r="6" spans="2:15" ht="18" customHeight="1">
      <c r="B6" s="753"/>
      <c r="C6" s="754"/>
      <c r="D6" s="365" t="s">
        <v>194</v>
      </c>
      <c r="E6" s="762">
        <f>IF(ISBLANK(Instructions!D26),"",Instructions!D26)</f>
        <v>2018</v>
      </c>
      <c r="F6" s="763" t="str">
        <f>IF(ISBLANK(Instructions!D26),"",IF(Instructions!E26="Calendar Year","1/"&amp;Instructions!D26&amp;" - "&amp;"12/"&amp;Instructions!D26,IF(OR(ISBLANK(Instructions!D28),ISBLANK(Instructions!D30)),"",MONTH(Instructions!D28)&amp;"/"&amp;YEAR(Instructions!D28)&amp;" - "&amp;MONTH(Instructions!D30)&amp;"/"&amp;YEAR(Instructions!D30))))</f>
        <v>7/2018 - 6/2019</v>
      </c>
      <c r="G6" s="756"/>
      <c r="H6" s="32"/>
    </row>
    <row r="7" spans="2:15" ht="18" customHeight="1">
      <c r="B7" s="753"/>
      <c r="C7" s="754"/>
      <c r="D7" s="365" t="s">
        <v>727</v>
      </c>
      <c r="E7" s="761">
        <f>IF(ISBLANK(Instructions!$D$34),"N/A*",IF(GradingAssessment!M24&gt;0,"N/A*",ROUND(GradingAssessment!G24,0)))</f>
        <v>51</v>
      </c>
      <c r="F7" s="766" t="str">
        <f>IF(E7="N/A*","* Confirm Units and Data Grading are Complete","")</f>
        <v/>
      </c>
      <c r="G7" s="756"/>
      <c r="H7" s="32"/>
    </row>
    <row r="8" spans="2:15" ht="6.6" customHeight="1" thickBot="1">
      <c r="B8" s="757"/>
      <c r="C8" s="758"/>
      <c r="D8" s="758"/>
      <c r="E8" s="758"/>
      <c r="F8" s="759"/>
      <c r="G8" s="760"/>
      <c r="H8" s="32"/>
    </row>
    <row r="9" spans="2:15" ht="16.5" customHeight="1" thickTop="1">
      <c r="B9" s="732"/>
      <c r="C9" s="648" t="s">
        <v>34</v>
      </c>
      <c r="D9" s="439"/>
      <c r="E9" s="440"/>
      <c r="F9" s="875" t="s">
        <v>234</v>
      </c>
      <c r="G9" s="733"/>
      <c r="H9" s="32"/>
    </row>
    <row r="10" spans="2:15" ht="16.5" customHeight="1">
      <c r="B10" s="734"/>
      <c r="C10" s="387">
        <f>IF('Reporting Worksheet'!G17&gt;0,IF('Reporting Worksheet'!R17=1,'Reporting Worksheet'!G17/(1+'Reporting Worksheet'!L17),'Reporting Worksheet'!G17-'Reporting Worksheet'!N17),0)</f>
        <v>79.239000000000004</v>
      </c>
      <c r="D10" s="388"/>
      <c r="E10" s="389"/>
      <c r="F10" s="876"/>
      <c r="G10" s="735"/>
      <c r="H10" s="32"/>
    </row>
    <row r="11" spans="2:15" ht="23.25" customHeight="1">
      <c r="B11" s="736"/>
      <c r="C11" s="390"/>
      <c r="D11" s="391"/>
      <c r="E11" s="871" t="s">
        <v>9</v>
      </c>
      <c r="F11" s="653" t="s">
        <v>333</v>
      </c>
      <c r="G11" s="737" t="s">
        <v>10</v>
      </c>
      <c r="H11" s="32"/>
      <c r="J11" s="81" t="s">
        <v>409</v>
      </c>
      <c r="K11" s="717"/>
      <c r="L11" s="717"/>
      <c r="M11" s="717"/>
      <c r="N11" s="717"/>
      <c r="O11" s="717"/>
    </row>
    <row r="12" spans="2:15" ht="15.75" customHeight="1">
      <c r="B12" s="738"/>
      <c r="C12" s="392"/>
      <c r="D12" s="393"/>
      <c r="E12" s="872"/>
      <c r="F12" s="394">
        <f>'Reporting Worksheet'!G23</f>
        <v>747.88099999999997</v>
      </c>
      <c r="G12" s="739"/>
      <c r="H12" s="32"/>
      <c r="J12" s="82"/>
      <c r="K12" s="717"/>
      <c r="L12" s="717"/>
      <c r="M12" s="717"/>
      <c r="N12" s="717"/>
      <c r="O12" s="717"/>
    </row>
    <row r="13" spans="2:15" ht="22.5" customHeight="1">
      <c r="B13" s="740" t="s">
        <v>303</v>
      </c>
      <c r="C13" s="392"/>
      <c r="D13" s="650" t="s">
        <v>8</v>
      </c>
      <c r="E13" s="395">
        <f>'Reporting Worksheet'!G23+'Reporting Worksheet'!G24</f>
        <v>747.88099999999997</v>
      </c>
      <c r="F13" s="654" t="s">
        <v>11</v>
      </c>
      <c r="G13" s="741">
        <f>SUM(F12+F14)</f>
        <v>747.88099999999997</v>
      </c>
      <c r="H13" s="32"/>
      <c r="J13" s="726" t="s">
        <v>399</v>
      </c>
      <c r="K13" s="718">
        <f>'Water Balance'!B17</f>
        <v>758.5</v>
      </c>
      <c r="L13" s="718"/>
      <c r="M13" s="718"/>
      <c r="N13" s="718"/>
    </row>
    <row r="14" spans="2:15" ht="15.75" customHeight="1">
      <c r="B14" s="874" t="s">
        <v>304</v>
      </c>
      <c r="C14" s="392"/>
      <c r="D14" s="396"/>
      <c r="E14" s="397"/>
      <c r="F14" s="398">
        <f>'Reporting Worksheet'!G24</f>
        <v>0</v>
      </c>
      <c r="G14" s="742"/>
      <c r="H14" s="32"/>
      <c r="J14" s="726" t="s">
        <v>33</v>
      </c>
      <c r="K14" s="718">
        <f>'Water Balance'!B27</f>
        <v>121.619</v>
      </c>
      <c r="L14" s="718"/>
      <c r="M14" s="718"/>
      <c r="N14" s="718"/>
    </row>
    <row r="15" spans="2:15" ht="15.75" customHeight="1">
      <c r="B15" s="874"/>
      <c r="C15" s="392"/>
      <c r="D15" s="399">
        <f>'Reporting Worksheet'!G30</f>
        <v>757.45319999999992</v>
      </c>
      <c r="E15" s="873" t="s">
        <v>12</v>
      </c>
      <c r="F15" s="655" t="s">
        <v>13</v>
      </c>
      <c r="G15" s="869" t="s">
        <v>14</v>
      </c>
      <c r="H15" s="32"/>
      <c r="J15" s="726" t="s">
        <v>34</v>
      </c>
      <c r="K15" s="719">
        <f>'Water Balance'!C10</f>
        <v>79.239000000000004</v>
      </c>
      <c r="L15" s="719">
        <f>'Water Balance'!C10</f>
        <v>79.239000000000004</v>
      </c>
      <c r="M15" s="719">
        <f>'Water Balance'!C10</f>
        <v>79.239000000000004</v>
      </c>
      <c r="N15" s="719">
        <f>'Water Balance'!C10</f>
        <v>79.239000000000004</v>
      </c>
      <c r="O15" s="719">
        <f>'Water Balance'!C10</f>
        <v>79.239000000000004</v>
      </c>
    </row>
    <row r="16" spans="2:15" ht="15.75" customHeight="1">
      <c r="B16" s="738"/>
      <c r="C16" s="392"/>
      <c r="D16" s="393"/>
      <c r="E16" s="872"/>
      <c r="F16" s="400">
        <f>'Reporting Worksheet'!G25</f>
        <v>0</v>
      </c>
      <c r="G16" s="870"/>
      <c r="H16" s="32"/>
      <c r="J16" s="726" t="s">
        <v>305</v>
      </c>
      <c r="K16" s="718"/>
      <c r="L16" s="720">
        <f>'Water Balance'!C21</f>
        <v>800.88</v>
      </c>
      <c r="M16" s="721"/>
      <c r="N16" s="721"/>
      <c r="O16" s="721"/>
    </row>
    <row r="17" spans="2:15" ht="22.5" customHeight="1">
      <c r="B17" s="743">
        <f>IF('Reporting Worksheet'!R15&gt;0,IF('Reporting Worksheet'!R15=1,'Reporting Worksheet'!G15/(1+'Reporting Worksheet'!L15),'Reporting Worksheet'!G15-'Reporting Worksheet'!N15),0)</f>
        <v>758.5</v>
      </c>
      <c r="C17" s="401"/>
      <c r="D17" s="393"/>
      <c r="E17" s="402">
        <f>'Reporting Worksheet'!G25+'Reporting Worksheet'!G26</f>
        <v>9.5722000000000005</v>
      </c>
      <c r="F17" s="653" t="s">
        <v>15</v>
      </c>
      <c r="G17" s="739"/>
      <c r="H17" s="32"/>
      <c r="J17" s="726" t="s">
        <v>8</v>
      </c>
      <c r="K17" s="718"/>
      <c r="L17" s="721"/>
      <c r="M17" s="720">
        <f>'Water Balance'!D15</f>
        <v>757.45319999999992</v>
      </c>
      <c r="N17" s="721"/>
      <c r="O17" s="721"/>
    </row>
    <row r="18" spans="2:15" ht="15.75" customHeight="1">
      <c r="B18" s="738"/>
      <c r="C18" s="392"/>
      <c r="D18" s="403"/>
      <c r="E18" s="397"/>
      <c r="F18" s="404">
        <f>'Reporting Worksheet'!G26</f>
        <v>9.5722000000000005</v>
      </c>
      <c r="G18" s="739"/>
      <c r="H18" s="32"/>
      <c r="J18" s="726" t="s">
        <v>139</v>
      </c>
      <c r="K18" s="718"/>
      <c r="L18" s="721"/>
      <c r="M18" s="720">
        <f>'Water Balance'!D25</f>
        <v>43.426800000000071</v>
      </c>
      <c r="N18" s="721"/>
      <c r="O18" s="721"/>
    </row>
    <row r="19" spans="2:15" ht="22.5" customHeight="1">
      <c r="B19" s="738"/>
      <c r="C19" s="649" t="s">
        <v>305</v>
      </c>
      <c r="D19" s="391"/>
      <c r="E19" s="405"/>
      <c r="F19" s="654" t="s">
        <v>16</v>
      </c>
      <c r="G19" s="744">
        <f>'Reporting Worksheet'!G25+'Reporting Worksheet'!G26+'Reporting Worksheet'!G47+'Reporting Worksheet'!G52</f>
        <v>52.999000000000066</v>
      </c>
      <c r="H19" s="32"/>
      <c r="J19" s="726" t="s">
        <v>768</v>
      </c>
      <c r="K19" s="718"/>
      <c r="L19" s="721"/>
      <c r="M19" s="721"/>
      <c r="N19" s="720">
        <f>'Water Balance'!E13</f>
        <v>747.88099999999997</v>
      </c>
      <c r="O19" s="721"/>
    </row>
    <row r="20" spans="2:15" ht="15.75" customHeight="1">
      <c r="B20" s="738"/>
      <c r="C20" s="392"/>
      <c r="D20" s="393"/>
      <c r="E20" s="652" t="s">
        <v>140</v>
      </c>
      <c r="F20" s="400">
        <f>'Reporting Worksheet'!G38</f>
        <v>2.0022000000000002</v>
      </c>
      <c r="G20" s="739"/>
      <c r="H20" s="32"/>
      <c r="J20" s="726" t="s">
        <v>767</v>
      </c>
      <c r="K20" s="718"/>
      <c r="L20" s="721"/>
      <c r="M20" s="721"/>
      <c r="N20" s="720">
        <f>'Water Balance'!E17</f>
        <v>9.5722000000000005</v>
      </c>
      <c r="O20" s="721"/>
    </row>
    <row r="21" spans="2:15" ht="14.25" customHeight="1">
      <c r="B21" s="745"/>
      <c r="C21" s="406">
        <f>'Reporting Worksheet'!G19</f>
        <v>800.88</v>
      </c>
      <c r="D21" s="407"/>
      <c r="E21" s="402">
        <f>'Reporting Worksheet'!G47</f>
        <v>11.426256035353585</v>
      </c>
      <c r="F21" s="653" t="s">
        <v>17</v>
      </c>
      <c r="G21" s="739"/>
      <c r="H21" s="32"/>
      <c r="J21" s="726" t="s">
        <v>140</v>
      </c>
      <c r="K21" s="718"/>
      <c r="L21" s="721"/>
      <c r="M21" s="721"/>
      <c r="N21" s="720">
        <f>'Water Balance'!E21</f>
        <v>11.426256035353585</v>
      </c>
      <c r="O21" s="721"/>
    </row>
    <row r="22" spans="2:15" ht="15.75" customHeight="1">
      <c r="B22" s="738"/>
      <c r="C22" s="392"/>
      <c r="D22" s="393"/>
      <c r="E22" s="407"/>
      <c r="F22" s="408">
        <f>'Reporting Worksheet'!G42</f>
        <v>7.5543535353535844</v>
      </c>
      <c r="G22" s="739"/>
      <c r="H22" s="32"/>
      <c r="J22" s="726" t="s">
        <v>141</v>
      </c>
      <c r="K22" s="718"/>
      <c r="L22" s="721"/>
      <c r="M22" s="721"/>
      <c r="N22" s="720">
        <f>'Water Balance'!E27</f>
        <v>32.000543964646482</v>
      </c>
      <c r="O22" s="721"/>
    </row>
    <row r="23" spans="2:15" ht="23.25" customHeight="1">
      <c r="B23" s="738"/>
      <c r="C23" s="392"/>
      <c r="D23" s="393"/>
      <c r="E23" s="407"/>
      <c r="F23" s="653" t="s">
        <v>206</v>
      </c>
      <c r="G23" s="739"/>
      <c r="H23" s="32"/>
      <c r="J23" s="726" t="s">
        <v>10</v>
      </c>
      <c r="K23" s="718"/>
      <c r="L23" s="721"/>
      <c r="M23" s="721"/>
      <c r="N23" s="721"/>
      <c r="O23" s="720">
        <f>'Water Balance'!G13</f>
        <v>747.88099999999997</v>
      </c>
    </row>
    <row r="24" spans="2:15" ht="15.75" customHeight="1">
      <c r="B24" s="738"/>
      <c r="C24" s="392"/>
      <c r="D24" s="651" t="s">
        <v>139</v>
      </c>
      <c r="E24" s="397"/>
      <c r="F24" s="400">
        <f>'Reporting Worksheet'!G43</f>
        <v>1.8697025</v>
      </c>
      <c r="G24" s="739"/>
      <c r="H24" s="32"/>
      <c r="J24" s="726" t="s">
        <v>389</v>
      </c>
      <c r="K24" s="718"/>
      <c r="L24" s="721"/>
      <c r="M24" s="721"/>
      <c r="N24" s="721"/>
      <c r="O24" s="720">
        <f>'Water Balance'!G19</f>
        <v>52.999000000000066</v>
      </c>
    </row>
    <row r="25" spans="2:15" ht="26.25" customHeight="1">
      <c r="B25" s="746" t="s">
        <v>33</v>
      </c>
      <c r="C25" s="392"/>
      <c r="D25" s="409">
        <f>'Reporting Worksheet'!G54</f>
        <v>43.426800000000071</v>
      </c>
      <c r="E25" s="407"/>
      <c r="F25" s="653" t="s">
        <v>18</v>
      </c>
      <c r="G25" s="739"/>
      <c r="H25" s="32"/>
      <c r="J25" s="173"/>
      <c r="K25" s="722">
        <f>K13+K14</f>
        <v>880.11900000000003</v>
      </c>
      <c r="L25" s="722">
        <f>SUM(L13:L24)</f>
        <v>880.11900000000003</v>
      </c>
      <c r="M25" s="722">
        <f>SUM(M13:M24)</f>
        <v>880.11900000000003</v>
      </c>
      <c r="N25" s="722">
        <f>SUM(N13:N24)</f>
        <v>880.11900000000003</v>
      </c>
      <c r="O25" s="722">
        <f>SUM(O13:O24)</f>
        <v>880.11900000000003</v>
      </c>
    </row>
    <row r="26" spans="2:15" ht="15.75" customHeight="1">
      <c r="B26" s="738"/>
      <c r="C26" s="392"/>
      <c r="D26" s="393"/>
      <c r="E26" s="652" t="s">
        <v>141</v>
      </c>
      <c r="F26" s="410" t="s">
        <v>322</v>
      </c>
      <c r="G26" s="739"/>
      <c r="H26" s="32"/>
    </row>
    <row r="27" spans="2:15" ht="24.75" customHeight="1">
      <c r="B27" s="743">
        <f>IF('Reporting Worksheet'!G16&gt;0,IF('Reporting Worksheet'!R16=1,'Reporting Worksheet'!G16/(1+'Reporting Worksheet'!L16),'Reporting Worksheet'!G16-'Reporting Worksheet'!N16),0)</f>
        <v>121.619</v>
      </c>
      <c r="C27" s="392"/>
      <c r="D27" s="393"/>
      <c r="E27" s="402">
        <f>'Reporting Worksheet'!G52</f>
        <v>32.000543964646482</v>
      </c>
      <c r="F27" s="654" t="s">
        <v>19</v>
      </c>
      <c r="G27" s="739"/>
      <c r="H27" s="32"/>
    </row>
    <row r="28" spans="2:15" ht="16.5" customHeight="1">
      <c r="B28" s="738"/>
      <c r="C28" s="392"/>
      <c r="D28" s="393"/>
      <c r="E28" s="407"/>
      <c r="F28" s="411" t="s">
        <v>322</v>
      </c>
      <c r="G28" s="739"/>
      <c r="H28" s="32"/>
    </row>
    <row r="29" spans="2:15" ht="12.75" customHeight="1">
      <c r="B29" s="738"/>
      <c r="C29" s="392"/>
      <c r="D29" s="393"/>
      <c r="E29" s="407"/>
      <c r="F29" s="653" t="s">
        <v>321</v>
      </c>
      <c r="G29" s="739"/>
      <c r="H29" s="32"/>
    </row>
    <row r="30" spans="2:15" ht="14.25" thickBot="1">
      <c r="B30" s="747"/>
      <c r="C30" s="748"/>
      <c r="D30" s="749"/>
      <c r="E30" s="750"/>
      <c r="F30" s="751" t="s">
        <v>322</v>
      </c>
      <c r="G30" s="752"/>
      <c r="H30" s="32"/>
    </row>
    <row r="31" spans="2:15" ht="14.25" thickTop="1">
      <c r="B31" s="34"/>
      <c r="C31" s="34"/>
      <c r="D31" s="34"/>
      <c r="E31" s="32"/>
      <c r="F31" s="32"/>
      <c r="G31" s="32"/>
      <c r="H31" s="32"/>
    </row>
    <row r="32" spans="2:15" hidden="1">
      <c r="B32" s="32"/>
      <c r="C32" s="32"/>
      <c r="D32" s="32"/>
      <c r="E32" s="32"/>
      <c r="F32" s="32"/>
      <c r="G32" s="32"/>
      <c r="H32" s="32"/>
    </row>
    <row r="33" spans="2:8" hidden="1">
      <c r="B33" s="32"/>
      <c r="C33" s="32"/>
      <c r="D33" s="32"/>
      <c r="E33" s="32"/>
      <c r="F33" s="32"/>
      <c r="G33" s="32"/>
      <c r="H33" s="32"/>
    </row>
    <row r="34" spans="2:8" hidden="1">
      <c r="B34" s="32"/>
      <c r="C34" s="32"/>
      <c r="D34" s="32"/>
      <c r="E34" s="32"/>
      <c r="F34" s="32"/>
      <c r="G34" s="32"/>
      <c r="H34" s="32"/>
    </row>
    <row r="35" spans="2:8" hidden="1">
      <c r="B35" s="32"/>
      <c r="C35" s="32"/>
      <c r="D35" s="32"/>
      <c r="E35" s="32"/>
      <c r="F35" s="32"/>
      <c r="G35" s="32"/>
      <c r="H35" s="32"/>
    </row>
    <row r="36" spans="2:8" hidden="1">
      <c r="B36" s="32"/>
      <c r="C36" s="32"/>
      <c r="D36" s="32"/>
      <c r="E36" s="32"/>
      <c r="F36" s="32"/>
      <c r="G36" s="32"/>
      <c r="H36" s="32"/>
    </row>
    <row r="37" spans="2:8" hidden="1">
      <c r="B37" s="32"/>
      <c r="C37" s="32"/>
      <c r="D37" s="32"/>
      <c r="E37" s="32"/>
      <c r="F37" s="32"/>
      <c r="G37" s="32"/>
      <c r="H37" s="32"/>
    </row>
    <row r="38" spans="2:8" hidden="1">
      <c r="B38" s="32"/>
      <c r="C38" s="32"/>
      <c r="D38" s="32"/>
      <c r="E38" s="32"/>
      <c r="F38" s="32"/>
      <c r="G38" s="32"/>
      <c r="H38" s="32"/>
    </row>
    <row r="39" spans="2:8" hidden="1">
      <c r="B39" s="32"/>
      <c r="C39" s="32"/>
      <c r="D39" s="32"/>
      <c r="E39" s="32"/>
      <c r="F39" s="32"/>
      <c r="G39" s="32"/>
      <c r="H39" s="32"/>
    </row>
    <row r="40" spans="2:8" hidden="1">
      <c r="B40" s="32"/>
      <c r="C40" s="32"/>
      <c r="D40" s="32"/>
      <c r="E40" s="32"/>
      <c r="F40" s="32"/>
      <c r="G40" s="32"/>
      <c r="H40" s="32"/>
    </row>
    <row r="41" spans="2:8" hidden="1">
      <c r="B41" s="32"/>
      <c r="C41" s="32"/>
      <c r="D41" s="32"/>
      <c r="E41" s="32"/>
      <c r="F41" s="32"/>
      <c r="G41" s="32"/>
      <c r="H41" s="32"/>
    </row>
    <row r="42" spans="2:8" hidden="1">
      <c r="B42" s="32"/>
      <c r="C42" s="32"/>
      <c r="D42" s="32"/>
      <c r="E42" s="32"/>
      <c r="F42" s="32"/>
      <c r="G42" s="32"/>
      <c r="H42" s="32"/>
    </row>
    <row r="43" spans="2:8" hidden="1">
      <c r="B43" s="32"/>
      <c r="C43" s="32"/>
      <c r="D43" s="32"/>
      <c r="E43" s="32"/>
      <c r="F43" s="32"/>
      <c r="G43" s="32"/>
      <c r="H43" s="32"/>
    </row>
    <row r="44" spans="2:8" hidden="1">
      <c r="B44" s="32"/>
      <c r="C44" s="32"/>
      <c r="D44" s="32"/>
      <c r="E44" s="32"/>
      <c r="F44" s="32"/>
      <c r="G44" s="32"/>
      <c r="H44" s="32"/>
    </row>
    <row r="45" spans="2:8" hidden="1">
      <c r="B45" s="32"/>
      <c r="C45" s="32"/>
      <c r="D45" s="32"/>
      <c r="E45" s="32"/>
      <c r="F45" s="32"/>
      <c r="G45" s="32"/>
      <c r="H45" s="32"/>
    </row>
    <row r="46" spans="2:8" hidden="1">
      <c r="B46" s="32"/>
      <c r="C46" s="32"/>
      <c r="D46" s="32"/>
      <c r="E46" s="32"/>
      <c r="F46" s="32"/>
      <c r="G46" s="32"/>
      <c r="H46" s="32"/>
    </row>
    <row r="47" spans="2:8" ht="12.75" hidden="1" customHeight="1">
      <c r="B47" s="32"/>
      <c r="C47" s="32"/>
      <c r="D47" s="32"/>
      <c r="E47" s="32"/>
      <c r="F47" s="32"/>
      <c r="G47" s="32"/>
      <c r="H47" s="32"/>
    </row>
    <row r="48" spans="2:8" hidden="1">
      <c r="B48" s="32"/>
      <c r="C48" s="32"/>
      <c r="D48" s="32"/>
      <c r="E48" s="32"/>
      <c r="F48" s="32"/>
      <c r="G48" s="32"/>
      <c r="H48" s="32"/>
    </row>
    <row r="49" spans="2:8" hidden="1">
      <c r="B49" s="32"/>
      <c r="C49" s="32"/>
      <c r="D49" s="32"/>
      <c r="E49" s="32"/>
      <c r="F49" s="32"/>
      <c r="G49" s="32"/>
      <c r="H49" s="32"/>
    </row>
    <row r="50" spans="2:8" hidden="1">
      <c r="B50" s="32"/>
      <c r="C50" s="32"/>
      <c r="D50" s="32"/>
      <c r="E50" s="32"/>
      <c r="F50" s="32"/>
      <c r="G50" s="32"/>
      <c r="H50" s="32"/>
    </row>
    <row r="51" spans="2:8" hidden="1">
      <c r="B51" s="32"/>
      <c r="C51" s="32"/>
      <c r="D51" s="32"/>
      <c r="E51" s="32"/>
      <c r="F51" s="32"/>
      <c r="G51" s="32"/>
      <c r="H51" s="32"/>
    </row>
    <row r="52" spans="2:8" hidden="1">
      <c r="B52" s="32"/>
      <c r="C52" s="32"/>
      <c r="D52" s="32"/>
      <c r="E52" s="32"/>
      <c r="F52" s="32"/>
      <c r="G52" s="32"/>
      <c r="H52" s="32"/>
    </row>
    <row r="53" spans="2:8" hidden="1">
      <c r="B53" s="32"/>
      <c r="C53" s="32"/>
      <c r="D53" s="32"/>
      <c r="E53" s="32"/>
      <c r="F53" s="32"/>
      <c r="G53" s="32"/>
      <c r="H53" s="32"/>
    </row>
    <row r="54" spans="2:8" hidden="1">
      <c r="B54" s="32"/>
      <c r="C54" s="32"/>
      <c r="D54" s="32"/>
      <c r="E54" s="32"/>
      <c r="F54" s="32"/>
      <c r="G54" s="32"/>
      <c r="H54" s="32"/>
    </row>
    <row r="55" spans="2:8" hidden="1">
      <c r="B55" s="32"/>
      <c r="C55" s="32"/>
      <c r="D55" s="32"/>
      <c r="E55" s="32"/>
      <c r="F55" s="32"/>
      <c r="G55" s="32"/>
      <c r="H55" s="32"/>
    </row>
    <row r="56" spans="2:8" hidden="1">
      <c r="B56" s="32"/>
      <c r="C56" s="32"/>
      <c r="D56" s="32"/>
      <c r="E56" s="32"/>
      <c r="F56" s="32"/>
      <c r="G56" s="32"/>
      <c r="H56" s="32"/>
    </row>
    <row r="57" spans="2:8" hidden="1">
      <c r="B57" s="32"/>
      <c r="C57" s="32"/>
      <c r="D57" s="32"/>
      <c r="E57" s="32"/>
      <c r="F57" s="32"/>
      <c r="G57" s="32"/>
      <c r="H57" s="32"/>
    </row>
    <row r="58" spans="2:8" hidden="1">
      <c r="B58" s="32"/>
      <c r="C58" s="32"/>
      <c r="D58" s="32"/>
      <c r="E58" s="32"/>
      <c r="F58" s="32"/>
      <c r="G58" s="32"/>
      <c r="H58" s="32"/>
    </row>
    <row r="59" spans="2:8" hidden="1">
      <c r="B59" s="32"/>
      <c r="C59" s="32"/>
      <c r="D59" s="32"/>
      <c r="E59" s="32"/>
      <c r="F59" s="32"/>
      <c r="G59" s="32"/>
      <c r="H59" s="32"/>
    </row>
    <row r="60" spans="2:8" hidden="1">
      <c r="B60" s="32"/>
      <c r="C60" s="32"/>
      <c r="D60" s="32"/>
      <c r="E60" s="32"/>
      <c r="F60" s="32"/>
      <c r="G60" s="32"/>
      <c r="H60" s="32"/>
    </row>
    <row r="61" spans="2:8" hidden="1">
      <c r="B61" s="32"/>
      <c r="C61" s="32"/>
      <c r="D61" s="32"/>
      <c r="E61" s="32"/>
      <c r="F61" s="32"/>
      <c r="G61" s="32"/>
      <c r="H61" s="32"/>
    </row>
    <row r="62" spans="2:8" hidden="1">
      <c r="B62" s="32"/>
      <c r="C62" s="32"/>
      <c r="D62" s="32"/>
      <c r="E62" s="32"/>
      <c r="F62" s="32"/>
      <c r="G62" s="32"/>
      <c r="H62" s="32"/>
    </row>
    <row r="63" spans="2:8" hidden="1">
      <c r="B63" s="32"/>
      <c r="C63" s="32"/>
      <c r="D63" s="32"/>
      <c r="E63" s="32"/>
      <c r="F63" s="32"/>
      <c r="G63" s="32"/>
      <c r="H63" s="32"/>
    </row>
    <row r="64" spans="2:8" hidden="1">
      <c r="B64" s="32"/>
      <c r="C64" s="32"/>
      <c r="D64" s="32"/>
      <c r="E64" s="32"/>
      <c r="F64" s="32"/>
      <c r="G64" s="32"/>
      <c r="H64" s="32"/>
    </row>
    <row r="65" spans="2:8" hidden="1">
      <c r="B65" s="32"/>
      <c r="C65" s="32"/>
      <c r="D65" s="32"/>
      <c r="E65" s="32"/>
      <c r="F65" s="32"/>
      <c r="G65" s="32"/>
      <c r="H65" s="32"/>
    </row>
    <row r="66" spans="2:8" hidden="1">
      <c r="B66" s="32"/>
      <c r="C66" s="32"/>
      <c r="D66" s="32"/>
      <c r="E66" s="32"/>
      <c r="F66" s="32"/>
      <c r="G66" s="32"/>
      <c r="H66" s="32"/>
    </row>
    <row r="67" spans="2:8" hidden="1">
      <c r="B67" s="32"/>
      <c r="C67" s="32"/>
      <c r="D67" s="32"/>
      <c r="E67" s="32"/>
      <c r="F67" s="32"/>
      <c r="G67" s="32"/>
      <c r="H67" s="32"/>
    </row>
    <row r="68" spans="2:8" hidden="1">
      <c r="B68" s="32"/>
      <c r="C68" s="32"/>
      <c r="D68" s="32"/>
      <c r="E68" s="32"/>
      <c r="F68" s="32"/>
      <c r="G68" s="32"/>
      <c r="H68" s="32"/>
    </row>
    <row r="69" spans="2:8" hidden="1">
      <c r="B69" s="32"/>
      <c r="C69" s="32"/>
      <c r="D69" s="32"/>
      <c r="E69" s="32"/>
      <c r="F69" s="32"/>
      <c r="G69" s="32"/>
      <c r="H69" s="32"/>
    </row>
    <row r="70" spans="2:8" hidden="1">
      <c r="B70" s="32"/>
      <c r="C70" s="32"/>
      <c r="D70" s="32"/>
      <c r="E70" s="32"/>
      <c r="F70" s="32"/>
      <c r="G70" s="32"/>
      <c r="H70" s="32"/>
    </row>
    <row r="71" spans="2:8" hidden="1">
      <c r="B71" s="32"/>
      <c r="C71" s="32"/>
      <c r="D71" s="32"/>
      <c r="E71" s="32"/>
      <c r="F71" s="32"/>
      <c r="G71" s="32"/>
      <c r="H71" s="32"/>
    </row>
    <row r="72" spans="2:8" hidden="1">
      <c r="B72" s="32"/>
      <c r="C72" s="32"/>
      <c r="D72" s="32"/>
      <c r="E72" s="32"/>
      <c r="F72" s="32"/>
      <c r="G72" s="32"/>
      <c r="H72" s="32"/>
    </row>
    <row r="73" spans="2:8" hidden="1">
      <c r="B73" s="32"/>
      <c r="C73" s="32"/>
      <c r="D73" s="32"/>
      <c r="E73" s="32"/>
      <c r="F73" s="32"/>
      <c r="G73" s="32"/>
      <c r="H73" s="32"/>
    </row>
    <row r="74" spans="2:8" hidden="1">
      <c r="B74" s="32"/>
      <c r="C74" s="32"/>
      <c r="D74" s="32"/>
      <c r="E74" s="32"/>
      <c r="F74" s="32"/>
      <c r="G74" s="32"/>
      <c r="H74" s="32"/>
    </row>
    <row r="75" spans="2:8" hidden="1">
      <c r="B75" s="32"/>
      <c r="C75" s="32"/>
      <c r="D75" s="32"/>
      <c r="E75" s="32"/>
      <c r="F75" s="32"/>
      <c r="G75" s="32"/>
      <c r="H75" s="32"/>
    </row>
    <row r="76" spans="2:8" hidden="1">
      <c r="B76" s="32"/>
      <c r="C76" s="32"/>
      <c r="D76" s="32"/>
      <c r="E76" s="32"/>
      <c r="F76" s="32"/>
      <c r="G76" s="32"/>
      <c r="H76" s="32"/>
    </row>
    <row r="77" spans="2:8" hidden="1">
      <c r="B77" s="32"/>
      <c r="C77" s="32"/>
      <c r="D77" s="32"/>
      <c r="E77" s="32"/>
      <c r="F77" s="32"/>
      <c r="G77" s="32"/>
      <c r="H77" s="32"/>
    </row>
    <row r="78" spans="2:8" hidden="1">
      <c r="B78" s="32"/>
      <c r="C78" s="32"/>
      <c r="D78" s="32"/>
      <c r="E78" s="32"/>
      <c r="F78" s="32"/>
      <c r="G78" s="32"/>
      <c r="H78" s="32"/>
    </row>
    <row r="79" spans="2:8" hidden="1">
      <c r="B79" s="32"/>
      <c r="C79" s="32"/>
      <c r="D79" s="32"/>
      <c r="E79" s="32"/>
      <c r="F79" s="32"/>
      <c r="G79" s="32"/>
      <c r="H79" s="32"/>
    </row>
    <row r="80" spans="2:8" hidden="1">
      <c r="B80" s="32"/>
      <c r="C80" s="32"/>
      <c r="D80" s="32"/>
      <c r="E80" s="32"/>
      <c r="F80" s="32"/>
      <c r="G80" s="32"/>
      <c r="H80" s="32"/>
    </row>
    <row r="81" spans="2:8" hidden="1">
      <c r="B81" s="32"/>
      <c r="C81" s="32"/>
      <c r="D81" s="32"/>
      <c r="E81" s="32"/>
      <c r="F81" s="32"/>
      <c r="G81" s="32"/>
      <c r="H81" s="32"/>
    </row>
    <row r="82" spans="2:8" hidden="1">
      <c r="B82" s="32"/>
      <c r="C82" s="32"/>
      <c r="D82" s="32"/>
      <c r="E82" s="32"/>
      <c r="F82" s="32"/>
      <c r="G82" s="32"/>
      <c r="H82" s="32"/>
    </row>
    <row r="83" spans="2:8" hidden="1">
      <c r="B83" s="32"/>
      <c r="C83" s="32"/>
      <c r="D83" s="32"/>
      <c r="E83" s="32"/>
      <c r="F83" s="32"/>
      <c r="G83" s="32"/>
      <c r="H83" s="32"/>
    </row>
    <row r="84" spans="2:8" hidden="1">
      <c r="B84" s="32"/>
      <c r="C84" s="32"/>
      <c r="D84" s="32"/>
      <c r="E84" s="32"/>
      <c r="F84" s="32"/>
      <c r="G84" s="32"/>
      <c r="H84" s="32"/>
    </row>
    <row r="85" spans="2:8" hidden="1">
      <c r="B85" s="32"/>
      <c r="C85" s="32"/>
      <c r="D85" s="32"/>
      <c r="E85" s="32"/>
      <c r="F85" s="32"/>
      <c r="G85" s="32"/>
      <c r="H85" s="32"/>
    </row>
    <row r="86" spans="2:8" hidden="1">
      <c r="B86" s="32"/>
      <c r="C86" s="32"/>
      <c r="D86" s="32"/>
      <c r="E86" s="32"/>
      <c r="F86" s="32"/>
      <c r="G86" s="32"/>
      <c r="H86" s="32"/>
    </row>
    <row r="87" spans="2:8" hidden="1">
      <c r="B87" s="32"/>
      <c r="C87" s="32"/>
      <c r="D87" s="32"/>
      <c r="E87" s="32"/>
      <c r="F87" s="32"/>
      <c r="G87" s="32"/>
      <c r="H87" s="32"/>
    </row>
    <row r="88" spans="2:8" hidden="1">
      <c r="B88" s="32"/>
      <c r="C88" s="32"/>
      <c r="D88" s="32"/>
      <c r="E88" s="32"/>
      <c r="F88" s="32"/>
      <c r="G88" s="32"/>
      <c r="H88" s="32"/>
    </row>
    <row r="89" spans="2:8" hidden="1">
      <c r="B89" s="32"/>
      <c r="C89" s="32"/>
      <c r="D89" s="32"/>
      <c r="E89" s="32"/>
      <c r="F89" s="32"/>
      <c r="G89" s="32"/>
      <c r="H89" s="32"/>
    </row>
    <row r="90" spans="2:8" hidden="1">
      <c r="B90" s="32"/>
      <c r="C90" s="32"/>
      <c r="D90" s="32"/>
      <c r="E90" s="32"/>
      <c r="F90" s="32"/>
      <c r="G90" s="32"/>
      <c r="H90" s="32"/>
    </row>
    <row r="91" spans="2:8" hidden="1">
      <c r="B91" s="32"/>
      <c r="C91" s="32"/>
      <c r="D91" s="32"/>
      <c r="E91" s="32"/>
      <c r="F91" s="32"/>
      <c r="G91" s="32"/>
      <c r="H91" s="32"/>
    </row>
    <row r="92" spans="2:8" hidden="1">
      <c r="B92" s="32"/>
      <c r="C92" s="32"/>
      <c r="D92" s="32"/>
      <c r="E92" s="32"/>
      <c r="F92" s="32"/>
      <c r="G92" s="32"/>
      <c r="H92" s="32"/>
    </row>
    <row r="93" spans="2:8" hidden="1">
      <c r="B93" s="32"/>
      <c r="C93" s="32"/>
      <c r="D93" s="32"/>
      <c r="E93" s="32"/>
      <c r="F93" s="32"/>
      <c r="G93" s="32"/>
      <c r="H93" s="32"/>
    </row>
    <row r="94" spans="2:8" hidden="1">
      <c r="B94" s="32"/>
      <c r="C94" s="32"/>
      <c r="D94" s="32"/>
      <c r="E94" s="32"/>
      <c r="F94" s="32"/>
      <c r="G94" s="32"/>
      <c r="H94" s="32"/>
    </row>
    <row r="95" spans="2:8" hidden="1">
      <c r="B95" s="32"/>
      <c r="C95" s="32"/>
      <c r="D95" s="32"/>
      <c r="E95" s="32"/>
      <c r="F95" s="32"/>
      <c r="G95" s="32"/>
      <c r="H95" s="32"/>
    </row>
    <row r="96" spans="2:8" hidden="1">
      <c r="B96" s="32"/>
      <c r="C96" s="32"/>
      <c r="D96" s="32"/>
      <c r="E96" s="32"/>
      <c r="F96" s="32"/>
      <c r="G96" s="32"/>
      <c r="H96" s="32"/>
    </row>
    <row r="97" spans="2:8" hidden="1">
      <c r="B97" s="32"/>
      <c r="C97" s="32"/>
      <c r="D97" s="32"/>
      <c r="E97" s="32"/>
      <c r="F97" s="32"/>
      <c r="G97" s="32"/>
      <c r="H97" s="32"/>
    </row>
    <row r="98" spans="2:8" hidden="1">
      <c r="B98" s="32"/>
      <c r="C98" s="32"/>
      <c r="D98" s="32"/>
      <c r="E98" s="32"/>
      <c r="F98" s="32"/>
      <c r="G98" s="32"/>
      <c r="H98" s="32"/>
    </row>
    <row r="99" spans="2:8" hidden="1">
      <c r="B99" s="32"/>
      <c r="C99" s="32"/>
      <c r="D99" s="32"/>
      <c r="E99" s="32"/>
      <c r="F99" s="32"/>
      <c r="G99" s="32"/>
      <c r="H99" s="32"/>
    </row>
    <row r="100" spans="2:8" hidden="1">
      <c r="B100" s="32"/>
      <c r="C100" s="32"/>
      <c r="D100" s="32"/>
      <c r="E100" s="32"/>
      <c r="F100" s="32"/>
      <c r="G100" s="32"/>
      <c r="H100" s="32"/>
    </row>
    <row r="101" spans="2:8" hidden="1">
      <c r="B101" s="32"/>
      <c r="C101" s="32"/>
      <c r="D101" s="32"/>
      <c r="E101" s="32"/>
      <c r="F101" s="32"/>
      <c r="G101" s="32"/>
      <c r="H101" s="32"/>
    </row>
    <row r="102" spans="2:8" hidden="1">
      <c r="B102" s="32"/>
      <c r="C102" s="32"/>
      <c r="D102" s="32"/>
      <c r="E102" s="32"/>
      <c r="F102" s="32"/>
      <c r="G102" s="32"/>
      <c r="H102" s="32"/>
    </row>
    <row r="103" spans="2:8" hidden="1">
      <c r="B103" s="32"/>
      <c r="C103" s="32"/>
      <c r="D103" s="32"/>
      <c r="E103" s="32"/>
      <c r="F103" s="32"/>
      <c r="G103" s="32"/>
      <c r="H103" s="32"/>
    </row>
    <row r="104" spans="2:8" hidden="1">
      <c r="B104" s="32"/>
      <c r="C104" s="32"/>
      <c r="D104" s="32"/>
      <c r="E104" s="32"/>
      <c r="F104" s="32"/>
      <c r="G104" s="32"/>
      <c r="H104" s="32"/>
    </row>
    <row r="105" spans="2:8" hidden="1">
      <c r="B105" s="32"/>
      <c r="C105" s="32"/>
      <c r="D105" s="32"/>
      <c r="E105" s="32"/>
      <c r="F105" s="32"/>
      <c r="G105" s="32"/>
      <c r="H105" s="32"/>
    </row>
    <row r="106" spans="2:8" hidden="1">
      <c r="B106" s="32"/>
      <c r="C106" s="32"/>
      <c r="D106" s="32"/>
      <c r="E106" s="32"/>
      <c r="F106" s="32"/>
      <c r="G106" s="32"/>
      <c r="H106" s="32"/>
    </row>
    <row r="107" spans="2:8" hidden="1">
      <c r="B107" s="32"/>
      <c r="C107" s="32"/>
      <c r="D107" s="32"/>
      <c r="E107" s="32"/>
      <c r="F107" s="32"/>
      <c r="G107" s="32"/>
      <c r="H107" s="32"/>
    </row>
    <row r="108" spans="2:8" hidden="1">
      <c r="B108" s="32"/>
      <c r="C108" s="32"/>
      <c r="D108" s="32"/>
      <c r="E108" s="32"/>
      <c r="F108" s="32"/>
      <c r="G108" s="32"/>
      <c r="H108" s="32"/>
    </row>
    <row r="109" spans="2:8" hidden="1">
      <c r="B109" s="32"/>
      <c r="C109" s="32"/>
      <c r="D109" s="32"/>
      <c r="E109" s="32"/>
      <c r="F109" s="32"/>
      <c r="G109" s="32"/>
      <c r="H109" s="32"/>
    </row>
    <row r="110" spans="2:8" hidden="1">
      <c r="B110" s="32"/>
      <c r="C110" s="32"/>
      <c r="D110" s="32"/>
      <c r="E110" s="32"/>
      <c r="F110" s="32"/>
      <c r="G110" s="32"/>
      <c r="H110" s="32"/>
    </row>
    <row r="111" spans="2:8" hidden="1">
      <c r="B111" s="32"/>
      <c r="C111" s="32"/>
      <c r="D111" s="32"/>
      <c r="E111" s="32"/>
      <c r="F111" s="32"/>
      <c r="G111" s="32"/>
      <c r="H111" s="32"/>
    </row>
    <row r="112" spans="2:8" hidden="1">
      <c r="B112" s="32"/>
      <c r="C112" s="32"/>
      <c r="D112" s="32"/>
      <c r="E112" s="32"/>
      <c r="F112" s="32"/>
      <c r="G112" s="32"/>
      <c r="H112" s="32"/>
    </row>
    <row r="113" spans="2:8" hidden="1">
      <c r="B113" s="32"/>
      <c r="C113" s="32"/>
      <c r="D113" s="32"/>
      <c r="E113" s="32"/>
      <c r="F113" s="32"/>
      <c r="G113" s="32"/>
      <c r="H113" s="32"/>
    </row>
    <row r="114" spans="2:8" hidden="1">
      <c r="B114" s="32"/>
      <c r="C114" s="32"/>
      <c r="D114" s="32"/>
      <c r="E114" s="32"/>
      <c r="F114" s="32"/>
      <c r="G114" s="32"/>
      <c r="H114" s="32"/>
    </row>
    <row r="115" spans="2:8" hidden="1">
      <c r="B115" s="32"/>
      <c r="C115" s="32"/>
      <c r="D115" s="32"/>
      <c r="E115" s="32"/>
      <c r="F115" s="32"/>
      <c r="G115" s="32"/>
      <c r="H115" s="32"/>
    </row>
    <row r="116" spans="2:8" hidden="1">
      <c r="B116" s="32"/>
      <c r="C116" s="32"/>
      <c r="D116" s="32"/>
      <c r="E116" s="32"/>
      <c r="F116" s="32"/>
      <c r="G116" s="32"/>
      <c r="H116" s="32"/>
    </row>
    <row r="117" spans="2:8" hidden="1">
      <c r="B117" s="32"/>
      <c r="C117" s="32"/>
      <c r="D117" s="32"/>
      <c r="E117" s="32"/>
      <c r="F117" s="32"/>
      <c r="G117" s="32"/>
      <c r="H117" s="32"/>
    </row>
    <row r="118" spans="2:8" hidden="1">
      <c r="B118" s="32"/>
      <c r="C118" s="32"/>
      <c r="D118" s="32"/>
      <c r="E118" s="32"/>
      <c r="F118" s="32"/>
      <c r="G118" s="32"/>
      <c r="H118" s="32"/>
    </row>
    <row r="119" spans="2:8" hidden="1">
      <c r="B119" s="32"/>
      <c r="C119" s="32"/>
      <c r="D119" s="32"/>
      <c r="E119" s="32"/>
      <c r="F119" s="32"/>
      <c r="G119" s="32"/>
      <c r="H119" s="32"/>
    </row>
    <row r="120" spans="2:8" hidden="1">
      <c r="B120" s="32"/>
      <c r="C120" s="32"/>
      <c r="D120" s="32"/>
      <c r="E120" s="32"/>
      <c r="F120" s="32"/>
      <c r="G120" s="32"/>
      <c r="H120" s="32"/>
    </row>
    <row r="121" spans="2:8" hidden="1">
      <c r="B121" s="32"/>
      <c r="C121" s="32"/>
      <c r="D121" s="32"/>
      <c r="E121" s="32"/>
      <c r="F121" s="32"/>
      <c r="G121" s="32"/>
      <c r="H121" s="32"/>
    </row>
    <row r="122" spans="2:8" hidden="1">
      <c r="B122" s="32"/>
      <c r="C122" s="32"/>
      <c r="D122" s="32"/>
      <c r="E122" s="32"/>
      <c r="F122" s="32"/>
      <c r="G122" s="32"/>
      <c r="H122" s="32"/>
    </row>
    <row r="123" spans="2:8" hidden="1">
      <c r="B123" s="32"/>
      <c r="C123" s="32"/>
      <c r="D123" s="32"/>
      <c r="E123" s="32"/>
      <c r="F123" s="32"/>
      <c r="G123" s="32"/>
      <c r="H123" s="32"/>
    </row>
    <row r="124" spans="2:8" hidden="1">
      <c r="B124" s="32"/>
      <c r="C124" s="32"/>
      <c r="D124" s="32"/>
      <c r="E124" s="32"/>
      <c r="F124" s="32"/>
      <c r="G124" s="32"/>
      <c r="H124" s="32"/>
    </row>
    <row r="125" spans="2:8" hidden="1">
      <c r="B125" s="32"/>
      <c r="C125" s="32"/>
      <c r="D125" s="32"/>
      <c r="E125" s="32"/>
      <c r="F125" s="32"/>
      <c r="G125" s="32"/>
      <c r="H125" s="32"/>
    </row>
    <row r="126" spans="2:8" hidden="1">
      <c r="B126" s="32"/>
      <c r="C126" s="32"/>
      <c r="D126" s="32"/>
      <c r="E126" s="32"/>
      <c r="F126" s="32"/>
      <c r="G126" s="32"/>
      <c r="H126" s="32"/>
    </row>
    <row r="127" spans="2:8" hidden="1">
      <c r="B127" s="32"/>
      <c r="C127" s="32"/>
      <c r="D127" s="32"/>
      <c r="E127" s="32"/>
      <c r="F127" s="32"/>
      <c r="G127" s="32"/>
      <c r="H127" s="32"/>
    </row>
    <row r="128" spans="2:8" hidden="1">
      <c r="B128" s="32"/>
      <c r="C128" s="32"/>
      <c r="D128" s="32"/>
      <c r="E128" s="32"/>
      <c r="F128" s="32"/>
      <c r="G128" s="32"/>
      <c r="H128" s="32"/>
    </row>
    <row r="129" spans="2:8" hidden="1">
      <c r="B129" s="32"/>
      <c r="C129" s="32"/>
      <c r="D129" s="32"/>
      <c r="E129" s="32"/>
      <c r="F129" s="32"/>
      <c r="G129" s="32"/>
      <c r="H129" s="32"/>
    </row>
    <row r="130" spans="2:8" hidden="1">
      <c r="B130" s="32"/>
      <c r="C130" s="32"/>
      <c r="D130" s="32"/>
      <c r="E130" s="32"/>
      <c r="F130" s="32"/>
      <c r="G130" s="32"/>
      <c r="H130" s="32"/>
    </row>
    <row r="131" spans="2:8" hidden="1">
      <c r="B131" s="32"/>
      <c r="C131" s="32"/>
      <c r="D131" s="32"/>
      <c r="E131" s="32"/>
      <c r="F131" s="32"/>
      <c r="G131" s="32"/>
      <c r="H131" s="32"/>
    </row>
    <row r="132" spans="2:8" hidden="1">
      <c r="B132" s="32"/>
      <c r="C132" s="32"/>
      <c r="D132" s="32"/>
      <c r="E132" s="32"/>
      <c r="F132" s="32"/>
      <c r="G132" s="32"/>
      <c r="H132" s="32"/>
    </row>
    <row r="133" spans="2:8" hidden="1">
      <c r="B133" s="32"/>
      <c r="C133" s="32"/>
      <c r="D133" s="32"/>
      <c r="E133" s="32"/>
      <c r="F133" s="32"/>
      <c r="G133" s="32"/>
      <c r="H133" s="32"/>
    </row>
    <row r="134" spans="2:8" hidden="1">
      <c r="B134" s="32"/>
      <c r="C134" s="32"/>
      <c r="D134" s="32"/>
      <c r="E134" s="32"/>
      <c r="F134" s="32"/>
      <c r="G134" s="32"/>
      <c r="H134" s="32"/>
    </row>
    <row r="135" spans="2:8" hidden="1">
      <c r="B135" s="32"/>
      <c r="C135" s="32"/>
      <c r="D135" s="32"/>
      <c r="E135" s="32"/>
      <c r="F135" s="32"/>
      <c r="G135" s="32"/>
      <c r="H135" s="32"/>
    </row>
    <row r="136" spans="2:8" hidden="1">
      <c r="B136" s="32"/>
      <c r="C136" s="32"/>
      <c r="D136" s="32"/>
      <c r="E136" s="32"/>
      <c r="F136" s="32"/>
      <c r="G136" s="32"/>
      <c r="H136" s="32"/>
    </row>
    <row r="137" spans="2:8" hidden="1">
      <c r="B137" s="32"/>
      <c r="C137" s="32"/>
      <c r="D137" s="32"/>
      <c r="E137" s="32"/>
      <c r="F137" s="32"/>
      <c r="G137" s="32"/>
      <c r="H137" s="32"/>
    </row>
    <row r="138" spans="2:8" hidden="1">
      <c r="B138" s="32"/>
      <c r="C138" s="32"/>
      <c r="D138" s="32"/>
      <c r="E138" s="32"/>
      <c r="F138" s="32"/>
      <c r="G138" s="32"/>
      <c r="H138" s="32"/>
    </row>
    <row r="139" spans="2:8" hidden="1">
      <c r="B139" s="32"/>
      <c r="C139" s="32"/>
      <c r="D139" s="32"/>
      <c r="E139" s="32"/>
      <c r="F139" s="32"/>
      <c r="G139" s="32"/>
      <c r="H139" s="32"/>
    </row>
    <row r="140" spans="2:8" hidden="1">
      <c r="B140" s="32"/>
      <c r="C140" s="32"/>
      <c r="D140" s="32"/>
      <c r="E140" s="32"/>
      <c r="F140" s="32"/>
      <c r="G140" s="32"/>
      <c r="H140" s="32"/>
    </row>
    <row r="141" spans="2:8" hidden="1">
      <c r="B141" s="32"/>
      <c r="C141" s="32"/>
      <c r="D141" s="32"/>
      <c r="E141" s="32"/>
      <c r="F141" s="32"/>
      <c r="G141" s="32"/>
      <c r="H141" s="32"/>
    </row>
    <row r="142" spans="2:8" hidden="1">
      <c r="B142" s="32"/>
      <c r="C142" s="32"/>
      <c r="D142" s="32"/>
      <c r="E142" s="32"/>
      <c r="F142" s="32"/>
      <c r="G142" s="32"/>
      <c r="H142" s="32"/>
    </row>
    <row r="143" spans="2:8" hidden="1">
      <c r="B143" s="32"/>
      <c r="C143" s="32"/>
      <c r="D143" s="32"/>
      <c r="E143" s="32"/>
      <c r="F143" s="32"/>
      <c r="G143" s="32"/>
      <c r="H143" s="32"/>
    </row>
    <row r="144" spans="2:8" hidden="1">
      <c r="B144" s="32"/>
      <c r="C144" s="32"/>
      <c r="D144" s="32"/>
      <c r="E144" s="32"/>
      <c r="F144" s="32"/>
      <c r="G144" s="32"/>
      <c r="H144" s="32"/>
    </row>
    <row r="145" spans="2:8" hidden="1">
      <c r="B145" s="32"/>
      <c r="C145" s="32"/>
      <c r="D145" s="32"/>
      <c r="E145" s="32"/>
      <c r="F145" s="32"/>
      <c r="G145" s="32"/>
      <c r="H145" s="32"/>
    </row>
    <row r="146" spans="2:8" hidden="1">
      <c r="B146" s="32"/>
      <c r="C146" s="32"/>
      <c r="D146" s="32"/>
      <c r="E146" s="32"/>
      <c r="F146" s="32"/>
      <c r="G146" s="32"/>
      <c r="H146" s="32"/>
    </row>
    <row r="147" spans="2:8" hidden="1">
      <c r="B147" s="32"/>
      <c r="C147" s="32"/>
      <c r="D147" s="32"/>
      <c r="E147" s="32"/>
      <c r="F147" s="32"/>
      <c r="G147" s="32"/>
      <c r="H147" s="32"/>
    </row>
    <row r="148" spans="2:8" hidden="1">
      <c r="B148" s="32"/>
      <c r="C148" s="32"/>
      <c r="D148" s="32"/>
      <c r="E148" s="32"/>
      <c r="F148" s="32"/>
      <c r="G148" s="32"/>
      <c r="H148" s="32"/>
    </row>
    <row r="149" spans="2:8" hidden="1">
      <c r="B149" s="32"/>
      <c r="C149" s="32"/>
      <c r="D149" s="32"/>
      <c r="E149" s="32"/>
      <c r="F149" s="32"/>
      <c r="G149" s="32"/>
      <c r="H149" s="32"/>
    </row>
    <row r="150" spans="2:8" hidden="1">
      <c r="B150" s="32"/>
      <c r="C150" s="32"/>
      <c r="D150" s="32"/>
      <c r="E150" s="32"/>
      <c r="F150" s="32"/>
      <c r="G150" s="32"/>
      <c r="H150" s="32"/>
    </row>
    <row r="151" spans="2:8" hidden="1">
      <c r="B151" s="32"/>
      <c r="C151" s="32"/>
      <c r="D151" s="32"/>
      <c r="E151" s="32"/>
      <c r="F151" s="32"/>
      <c r="G151" s="32"/>
      <c r="H151" s="32"/>
    </row>
    <row r="152" spans="2:8" hidden="1">
      <c r="B152" s="32"/>
      <c r="C152" s="32"/>
      <c r="D152" s="32"/>
      <c r="E152" s="32"/>
      <c r="F152" s="32"/>
      <c r="G152" s="32"/>
      <c r="H152" s="32"/>
    </row>
    <row r="153" spans="2:8" hidden="1">
      <c r="B153" s="32"/>
      <c r="C153" s="32"/>
      <c r="D153" s="32"/>
      <c r="E153" s="32"/>
      <c r="F153" s="32"/>
      <c r="G153" s="32"/>
      <c r="H153" s="32"/>
    </row>
    <row r="154" spans="2:8" hidden="1">
      <c r="B154" s="32"/>
      <c r="C154" s="32"/>
      <c r="D154" s="32"/>
      <c r="E154" s="32"/>
      <c r="F154" s="32"/>
      <c r="G154" s="32"/>
      <c r="H154" s="32"/>
    </row>
    <row r="155" spans="2:8" hidden="1">
      <c r="B155" s="32"/>
      <c r="C155" s="32"/>
      <c r="D155" s="32"/>
      <c r="E155" s="32"/>
      <c r="F155" s="32"/>
      <c r="G155" s="32"/>
      <c r="H155" s="32"/>
    </row>
    <row r="156" spans="2:8" hidden="1">
      <c r="B156" s="32"/>
      <c r="C156" s="32"/>
      <c r="D156" s="32"/>
      <c r="E156" s="32"/>
      <c r="F156" s="32"/>
      <c r="G156" s="32"/>
      <c r="H156" s="32"/>
    </row>
    <row r="157" spans="2:8" hidden="1">
      <c r="B157" s="32"/>
      <c r="C157" s="32"/>
      <c r="D157" s="32"/>
      <c r="E157" s="32"/>
      <c r="F157" s="32"/>
      <c r="G157" s="32"/>
      <c r="H157" s="32"/>
    </row>
    <row r="158" spans="2:8" hidden="1">
      <c r="B158" s="32"/>
      <c r="C158" s="32"/>
      <c r="D158" s="32"/>
      <c r="E158" s="32"/>
      <c r="F158" s="32"/>
      <c r="G158" s="32"/>
      <c r="H158" s="32"/>
    </row>
    <row r="159" spans="2:8" hidden="1">
      <c r="B159" s="32"/>
      <c r="C159" s="32"/>
      <c r="D159" s="32"/>
      <c r="E159" s="32"/>
      <c r="F159" s="32"/>
      <c r="G159" s="32"/>
      <c r="H159" s="32"/>
    </row>
    <row r="160" spans="2:8" hidden="1">
      <c r="B160" s="32"/>
      <c r="C160" s="32"/>
      <c r="D160" s="32"/>
      <c r="E160" s="32"/>
      <c r="F160" s="32"/>
      <c r="G160" s="32"/>
      <c r="H160" s="32"/>
    </row>
    <row r="161" spans="2:8" hidden="1">
      <c r="B161" s="32"/>
      <c r="C161" s="32"/>
      <c r="D161" s="32"/>
      <c r="E161" s="32"/>
      <c r="F161" s="32"/>
      <c r="G161" s="32"/>
      <c r="H161" s="32"/>
    </row>
    <row r="162" spans="2:8" hidden="1">
      <c r="B162" s="32"/>
      <c r="C162" s="32"/>
      <c r="D162" s="32"/>
      <c r="E162" s="32"/>
      <c r="F162" s="32"/>
      <c r="G162" s="32"/>
      <c r="H162" s="32"/>
    </row>
    <row r="163" spans="2:8" hidden="1">
      <c r="B163" s="32"/>
      <c r="C163" s="32"/>
      <c r="D163" s="32"/>
      <c r="E163" s="32"/>
      <c r="F163" s="32"/>
      <c r="G163" s="32"/>
      <c r="H163" s="32"/>
    </row>
    <row r="164" spans="2:8" hidden="1">
      <c r="B164" s="32"/>
      <c r="C164" s="32"/>
      <c r="D164" s="32"/>
      <c r="E164" s="32"/>
      <c r="F164" s="32"/>
      <c r="G164" s="32"/>
      <c r="H164" s="32"/>
    </row>
    <row r="165" spans="2:8" hidden="1">
      <c r="B165" s="32"/>
      <c r="C165" s="32"/>
      <c r="D165" s="32"/>
      <c r="E165" s="32"/>
      <c r="F165" s="32"/>
      <c r="G165" s="32"/>
      <c r="H165" s="32"/>
    </row>
    <row r="166" spans="2:8" hidden="1">
      <c r="B166" s="32"/>
      <c r="C166" s="32"/>
      <c r="D166" s="32"/>
      <c r="E166" s="32"/>
      <c r="F166" s="32"/>
      <c r="G166" s="32"/>
      <c r="H166" s="32"/>
    </row>
    <row r="167" spans="2:8" hidden="1">
      <c r="B167" s="32"/>
      <c r="C167" s="32"/>
      <c r="D167" s="32"/>
      <c r="E167" s="32"/>
      <c r="F167" s="32"/>
      <c r="G167" s="32"/>
      <c r="H167" s="32"/>
    </row>
    <row r="168" spans="2:8" hidden="1">
      <c r="B168" s="32"/>
      <c r="C168" s="32"/>
      <c r="D168" s="32"/>
      <c r="E168" s="32"/>
      <c r="F168" s="32"/>
      <c r="G168" s="32"/>
      <c r="H168" s="32"/>
    </row>
    <row r="169" spans="2:8" hidden="1">
      <c r="B169" s="32"/>
      <c r="C169" s="32"/>
      <c r="D169" s="32"/>
      <c r="E169" s="32"/>
      <c r="F169" s="32"/>
      <c r="G169" s="32"/>
      <c r="H169" s="32"/>
    </row>
    <row r="170" spans="2:8" hidden="1">
      <c r="B170" s="32"/>
      <c r="C170" s="32"/>
      <c r="D170" s="32"/>
      <c r="E170" s="32"/>
      <c r="F170" s="32"/>
      <c r="G170" s="32"/>
      <c r="H170" s="32"/>
    </row>
    <row r="171" spans="2:8" hidden="1">
      <c r="B171" s="32"/>
      <c r="C171" s="32"/>
      <c r="D171" s="32"/>
      <c r="E171" s="32"/>
      <c r="F171" s="32"/>
      <c r="G171" s="32"/>
      <c r="H171" s="32"/>
    </row>
    <row r="172" spans="2:8" hidden="1">
      <c r="B172" s="32"/>
      <c r="C172" s="32"/>
      <c r="D172" s="32"/>
      <c r="E172" s="32"/>
      <c r="F172" s="32"/>
      <c r="G172" s="32"/>
      <c r="H172" s="32"/>
    </row>
    <row r="173" spans="2:8" hidden="1">
      <c r="B173" s="32"/>
      <c r="C173" s="32"/>
      <c r="D173" s="32"/>
      <c r="E173" s="32"/>
      <c r="F173" s="32"/>
      <c r="G173" s="32"/>
      <c r="H173" s="32"/>
    </row>
    <row r="174" spans="2:8" hidden="1">
      <c r="B174" s="32"/>
      <c r="C174" s="32"/>
      <c r="D174" s="32"/>
      <c r="E174" s="32"/>
      <c r="F174" s="32"/>
      <c r="G174" s="32"/>
      <c r="H174" s="32"/>
    </row>
    <row r="175" spans="2:8" hidden="1">
      <c r="B175" s="32"/>
      <c r="C175" s="32"/>
      <c r="D175" s="32"/>
      <c r="E175" s="32"/>
      <c r="F175" s="32"/>
      <c r="G175" s="32"/>
      <c r="H175" s="32"/>
    </row>
    <row r="176" spans="2:8" hidden="1">
      <c r="B176" s="32"/>
      <c r="C176" s="32"/>
      <c r="D176" s="32"/>
      <c r="E176" s="32"/>
      <c r="F176" s="32"/>
      <c r="G176" s="32"/>
      <c r="H176" s="32"/>
    </row>
    <row r="177" spans="2:8" hidden="1">
      <c r="B177" s="32"/>
      <c r="C177" s="32"/>
      <c r="D177" s="32"/>
      <c r="E177" s="32"/>
      <c r="F177" s="32"/>
      <c r="G177" s="32"/>
      <c r="H177" s="32"/>
    </row>
    <row r="178" spans="2:8" hidden="1">
      <c r="B178" s="32"/>
      <c r="C178" s="32"/>
      <c r="D178" s="32"/>
      <c r="E178" s="32"/>
      <c r="F178" s="32"/>
      <c r="G178" s="32"/>
      <c r="H178" s="32"/>
    </row>
    <row r="179" spans="2:8" hidden="1">
      <c r="B179" s="32"/>
      <c r="C179" s="32"/>
      <c r="D179" s="32"/>
      <c r="E179" s="32"/>
      <c r="F179" s="32"/>
      <c r="G179" s="32"/>
      <c r="H179" s="32"/>
    </row>
    <row r="180" spans="2:8" hidden="1">
      <c r="B180" s="32"/>
      <c r="C180" s="32"/>
      <c r="D180" s="32"/>
      <c r="E180" s="32"/>
      <c r="F180" s="32"/>
      <c r="G180" s="32"/>
      <c r="H180" s="32"/>
    </row>
    <row r="181" spans="2:8" hidden="1">
      <c r="B181" s="32"/>
      <c r="C181" s="32"/>
      <c r="D181" s="32"/>
      <c r="E181" s="32"/>
      <c r="F181" s="32"/>
      <c r="G181" s="32"/>
      <c r="H181" s="32"/>
    </row>
    <row r="182" spans="2:8" hidden="1">
      <c r="B182" s="32"/>
      <c r="C182" s="32"/>
      <c r="D182" s="32"/>
      <c r="E182" s="32"/>
      <c r="F182" s="32"/>
      <c r="G182" s="32"/>
      <c r="H182" s="32"/>
    </row>
    <row r="183" spans="2:8" hidden="1">
      <c r="B183" s="32"/>
      <c r="C183" s="32"/>
      <c r="D183" s="32"/>
      <c r="E183" s="32"/>
      <c r="F183" s="32"/>
      <c r="G183" s="32"/>
      <c r="H183" s="32"/>
    </row>
    <row r="184" spans="2:8" hidden="1">
      <c r="B184" s="32"/>
      <c r="C184" s="32"/>
      <c r="D184" s="32"/>
      <c r="E184" s="32"/>
      <c r="F184" s="32"/>
      <c r="G184" s="32"/>
      <c r="H184" s="32"/>
    </row>
    <row r="185" spans="2:8" hidden="1">
      <c r="B185" s="32"/>
      <c r="C185" s="32"/>
      <c r="D185" s="32"/>
      <c r="E185" s="32"/>
      <c r="F185" s="32"/>
      <c r="G185" s="32"/>
      <c r="H185" s="32"/>
    </row>
    <row r="186" spans="2:8" hidden="1">
      <c r="B186" s="32"/>
      <c r="C186" s="32"/>
      <c r="D186" s="32"/>
      <c r="E186" s="32"/>
      <c r="F186" s="32"/>
      <c r="G186" s="32"/>
      <c r="H186" s="32"/>
    </row>
    <row r="187" spans="2:8" hidden="1">
      <c r="B187" s="32"/>
      <c r="C187" s="32"/>
      <c r="D187" s="32"/>
      <c r="E187" s="32"/>
      <c r="F187" s="32"/>
      <c r="G187" s="32"/>
      <c r="H187" s="32"/>
    </row>
    <row r="188" spans="2:8" hidden="1">
      <c r="B188" s="32"/>
      <c r="C188" s="32"/>
      <c r="D188" s="32"/>
      <c r="E188" s="32"/>
      <c r="F188" s="32"/>
      <c r="G188" s="32"/>
      <c r="H188" s="32"/>
    </row>
    <row r="189" spans="2:8" hidden="1">
      <c r="B189" s="32"/>
      <c r="C189" s="32"/>
      <c r="D189" s="32"/>
      <c r="E189" s="32"/>
      <c r="F189" s="32"/>
      <c r="G189" s="32"/>
      <c r="H189" s="32"/>
    </row>
    <row r="190" spans="2:8" hidden="1">
      <c r="B190" s="32"/>
      <c r="C190" s="32"/>
      <c r="D190" s="32"/>
      <c r="E190" s="32"/>
      <c r="F190" s="32"/>
      <c r="G190" s="32"/>
      <c r="H190" s="32"/>
    </row>
    <row r="191" spans="2:8" hidden="1">
      <c r="B191" s="32"/>
      <c r="C191" s="32"/>
      <c r="D191" s="32"/>
      <c r="E191" s="32"/>
      <c r="F191" s="32"/>
      <c r="G191" s="32"/>
      <c r="H191" s="32"/>
    </row>
    <row r="192" spans="2:8" hidden="1">
      <c r="B192" s="32"/>
      <c r="C192" s="32"/>
      <c r="D192" s="32"/>
      <c r="E192" s="32"/>
      <c r="F192" s="32"/>
      <c r="G192" s="32"/>
      <c r="H192" s="32"/>
    </row>
    <row r="193" spans="2:8" hidden="1">
      <c r="B193" s="32"/>
      <c r="C193" s="32"/>
      <c r="D193" s="32"/>
      <c r="E193" s="32"/>
      <c r="F193" s="32"/>
      <c r="G193" s="32"/>
      <c r="H193" s="32"/>
    </row>
    <row r="194" spans="2:8" hidden="1">
      <c r="B194" s="32"/>
      <c r="C194" s="32"/>
      <c r="D194" s="32"/>
      <c r="E194" s="32"/>
      <c r="F194" s="32"/>
      <c r="G194" s="32"/>
      <c r="H194" s="32"/>
    </row>
    <row r="195" spans="2:8" hidden="1">
      <c r="B195" s="32"/>
      <c r="C195" s="32"/>
      <c r="D195" s="32"/>
      <c r="E195" s="32"/>
      <c r="F195" s="32"/>
      <c r="G195" s="32"/>
      <c r="H195" s="32"/>
    </row>
    <row r="196" spans="2:8" hidden="1">
      <c r="B196" s="32"/>
      <c r="C196" s="32"/>
      <c r="D196" s="32"/>
      <c r="E196" s="32"/>
      <c r="F196" s="32"/>
      <c r="G196" s="32"/>
      <c r="H196" s="32"/>
    </row>
    <row r="197" spans="2:8" hidden="1">
      <c r="B197" s="32"/>
      <c r="C197" s="32"/>
      <c r="D197" s="32"/>
      <c r="E197" s="32"/>
      <c r="F197" s="32"/>
      <c r="G197" s="32"/>
      <c r="H197" s="32"/>
    </row>
    <row r="198" spans="2:8" hidden="1">
      <c r="B198" s="32"/>
      <c r="C198" s="32"/>
      <c r="D198" s="32"/>
      <c r="E198" s="32"/>
      <c r="F198" s="32"/>
      <c r="G198" s="32"/>
      <c r="H198" s="32"/>
    </row>
    <row r="199" spans="2:8" hidden="1">
      <c r="B199" s="32"/>
      <c r="C199" s="32"/>
      <c r="D199" s="32"/>
      <c r="E199" s="32"/>
      <c r="F199" s="32"/>
      <c r="G199" s="32"/>
      <c r="H199" s="32"/>
    </row>
    <row r="200" spans="2:8" hidden="1">
      <c r="B200" s="32"/>
      <c r="C200" s="32"/>
      <c r="D200" s="32"/>
      <c r="E200" s="32"/>
      <c r="F200" s="32"/>
      <c r="G200" s="32"/>
      <c r="H200" s="32"/>
    </row>
    <row r="201" spans="2:8" hidden="1">
      <c r="B201" s="32"/>
      <c r="C201" s="32"/>
      <c r="D201" s="32"/>
      <c r="E201" s="32"/>
      <c r="F201" s="32"/>
      <c r="G201" s="32"/>
      <c r="H201" s="32"/>
    </row>
    <row r="202" spans="2:8" hidden="1">
      <c r="B202" s="32"/>
      <c r="C202" s="32"/>
      <c r="D202" s="32"/>
      <c r="E202" s="32"/>
      <c r="F202" s="32"/>
      <c r="G202" s="32"/>
      <c r="H202" s="32"/>
    </row>
    <row r="203" spans="2:8" hidden="1">
      <c r="B203" s="32"/>
      <c r="C203" s="32"/>
      <c r="D203" s="32"/>
      <c r="E203" s="32"/>
      <c r="F203" s="32"/>
      <c r="G203" s="32"/>
      <c r="H203" s="32"/>
    </row>
    <row r="204" spans="2:8" hidden="1">
      <c r="B204" s="32"/>
      <c r="C204" s="32"/>
      <c r="D204" s="32"/>
      <c r="E204" s="32"/>
      <c r="F204" s="32"/>
      <c r="G204" s="32"/>
      <c r="H204" s="32"/>
    </row>
    <row r="205" spans="2:8" hidden="1">
      <c r="B205" s="32"/>
      <c r="C205" s="32"/>
      <c r="D205" s="32"/>
      <c r="E205" s="32"/>
      <c r="F205" s="32"/>
      <c r="G205" s="32"/>
      <c r="H205" s="32"/>
    </row>
    <row r="206" spans="2:8" hidden="1">
      <c r="B206" s="32"/>
      <c r="C206" s="32"/>
      <c r="D206" s="32"/>
      <c r="E206" s="32"/>
      <c r="F206" s="32"/>
      <c r="G206" s="32"/>
      <c r="H206" s="32"/>
    </row>
    <row r="207" spans="2:8" hidden="1">
      <c r="B207" s="32"/>
      <c r="C207" s="32"/>
      <c r="D207" s="32"/>
      <c r="E207" s="32"/>
      <c r="F207" s="32"/>
      <c r="G207" s="32"/>
      <c r="H207" s="32"/>
    </row>
    <row r="208" spans="2:8" hidden="1">
      <c r="B208" s="32"/>
      <c r="C208" s="32"/>
      <c r="D208" s="32"/>
      <c r="E208" s="32"/>
      <c r="F208" s="32"/>
      <c r="G208" s="32"/>
      <c r="H208" s="32"/>
    </row>
    <row r="209" spans="2:8" hidden="1">
      <c r="B209" s="32"/>
      <c r="C209" s="32"/>
      <c r="D209" s="32"/>
      <c r="E209" s="32"/>
      <c r="F209" s="32"/>
      <c r="G209" s="32"/>
      <c r="H209" s="32"/>
    </row>
    <row r="210" spans="2:8" hidden="1">
      <c r="B210" s="32"/>
      <c r="C210" s="32"/>
      <c r="D210" s="32"/>
      <c r="E210" s="32"/>
      <c r="F210" s="32"/>
      <c r="G210" s="32"/>
      <c r="H210" s="32"/>
    </row>
    <row r="211" spans="2:8" hidden="1">
      <c r="B211" s="32"/>
      <c r="C211" s="32"/>
      <c r="D211" s="32"/>
      <c r="E211" s="32"/>
      <c r="F211" s="32"/>
      <c r="G211" s="32"/>
      <c r="H211" s="32"/>
    </row>
    <row r="212" spans="2:8" hidden="1">
      <c r="B212" s="32"/>
      <c r="C212" s="32"/>
      <c r="D212" s="32"/>
      <c r="E212" s="32"/>
      <c r="F212" s="32"/>
      <c r="G212" s="32"/>
      <c r="H212" s="32"/>
    </row>
    <row r="213" spans="2:8" hidden="1">
      <c r="B213" s="32"/>
      <c r="C213" s="32"/>
      <c r="D213" s="32"/>
      <c r="E213" s="32"/>
      <c r="F213" s="32"/>
      <c r="G213" s="32"/>
      <c r="H213" s="32"/>
    </row>
    <row r="214" spans="2:8" hidden="1">
      <c r="B214" s="32"/>
      <c r="C214" s="32"/>
      <c r="D214" s="32"/>
      <c r="E214" s="32"/>
      <c r="F214" s="32"/>
      <c r="G214" s="32"/>
      <c r="H214" s="32"/>
    </row>
    <row r="215" spans="2:8" hidden="1">
      <c r="B215" s="32"/>
      <c r="C215" s="32"/>
      <c r="D215" s="32"/>
      <c r="E215" s="32"/>
      <c r="F215" s="32"/>
      <c r="G215" s="32"/>
      <c r="H215" s="32"/>
    </row>
    <row r="216" spans="2:8" hidden="1">
      <c r="B216" s="32"/>
      <c r="C216" s="32"/>
      <c r="D216" s="32"/>
      <c r="E216" s="32"/>
      <c r="F216" s="32"/>
      <c r="G216" s="32"/>
      <c r="H216" s="32"/>
    </row>
    <row r="217" spans="2:8" hidden="1">
      <c r="B217" s="32"/>
      <c r="C217" s="32"/>
      <c r="D217" s="32"/>
      <c r="E217" s="32"/>
      <c r="F217" s="32"/>
      <c r="G217" s="32"/>
      <c r="H217" s="32"/>
    </row>
    <row r="218" spans="2:8" hidden="1">
      <c r="B218" s="32"/>
      <c r="C218" s="32"/>
      <c r="D218" s="32"/>
      <c r="E218" s="32"/>
      <c r="F218" s="32"/>
      <c r="G218" s="32"/>
      <c r="H218" s="32"/>
    </row>
    <row r="219" spans="2:8" hidden="1">
      <c r="B219" s="32"/>
      <c r="C219" s="32"/>
      <c r="D219" s="32"/>
      <c r="E219" s="32"/>
      <c r="F219" s="32"/>
      <c r="G219" s="32"/>
      <c r="H219" s="32"/>
    </row>
    <row r="220" spans="2:8" hidden="1">
      <c r="B220" s="32"/>
      <c r="C220" s="32"/>
      <c r="D220" s="32"/>
      <c r="E220" s="32"/>
      <c r="F220" s="32"/>
      <c r="G220" s="32"/>
      <c r="H220" s="32"/>
    </row>
    <row r="221" spans="2:8" hidden="1">
      <c r="B221" s="32"/>
      <c r="C221" s="32"/>
      <c r="D221" s="32"/>
      <c r="E221" s="32"/>
      <c r="F221" s="32"/>
      <c r="G221" s="32"/>
      <c r="H221" s="32"/>
    </row>
    <row r="222" spans="2:8" hidden="1">
      <c r="B222" s="32"/>
      <c r="C222" s="32"/>
      <c r="D222" s="32"/>
      <c r="E222" s="32"/>
      <c r="F222" s="32"/>
      <c r="G222" s="32"/>
      <c r="H222" s="32"/>
    </row>
    <row r="223" spans="2:8" hidden="1">
      <c r="B223" s="32"/>
      <c r="C223" s="32"/>
      <c r="D223" s="32"/>
      <c r="E223" s="32"/>
      <c r="F223" s="32"/>
      <c r="G223" s="32"/>
      <c r="H223" s="32"/>
    </row>
    <row r="224" spans="2:8" hidden="1">
      <c r="B224" s="32"/>
      <c r="C224" s="32"/>
      <c r="D224" s="32"/>
      <c r="E224" s="32"/>
      <c r="F224" s="32"/>
      <c r="G224" s="32"/>
      <c r="H224" s="32"/>
    </row>
    <row r="225" spans="2:8" hidden="1">
      <c r="B225" s="32"/>
      <c r="C225" s="32"/>
      <c r="D225" s="32"/>
      <c r="E225" s="32"/>
      <c r="F225" s="32"/>
      <c r="G225" s="32"/>
      <c r="H225" s="32"/>
    </row>
    <row r="226" spans="2:8" hidden="1">
      <c r="B226" s="32"/>
      <c r="C226" s="32"/>
      <c r="D226" s="32"/>
      <c r="E226" s="32"/>
      <c r="F226" s="32"/>
      <c r="G226" s="32"/>
      <c r="H226" s="32"/>
    </row>
    <row r="227" spans="2:8" hidden="1">
      <c r="B227" s="32"/>
      <c r="C227" s="32"/>
      <c r="D227" s="32"/>
      <c r="E227" s="32"/>
      <c r="F227" s="32"/>
      <c r="G227" s="32"/>
      <c r="H227" s="32"/>
    </row>
    <row r="228" spans="2:8" hidden="1">
      <c r="B228" s="32"/>
      <c r="C228" s="32"/>
      <c r="D228" s="32"/>
      <c r="E228" s="32"/>
      <c r="F228" s="32"/>
      <c r="G228" s="32"/>
      <c r="H228" s="32"/>
    </row>
    <row r="229" spans="2:8" hidden="1">
      <c r="B229" s="32"/>
      <c r="C229" s="32"/>
      <c r="D229" s="32"/>
      <c r="E229" s="32"/>
      <c r="F229" s="32"/>
      <c r="G229" s="32"/>
      <c r="H229" s="32"/>
    </row>
    <row r="230" spans="2:8" hidden="1">
      <c r="B230" s="32"/>
      <c r="C230" s="32"/>
      <c r="D230" s="32"/>
      <c r="E230" s="32"/>
      <c r="F230" s="32"/>
      <c r="G230" s="32"/>
      <c r="H230" s="32"/>
    </row>
    <row r="231" spans="2:8" hidden="1">
      <c r="B231" s="32"/>
      <c r="C231" s="32"/>
      <c r="D231" s="32"/>
      <c r="E231" s="32"/>
      <c r="F231" s="32"/>
      <c r="G231" s="32"/>
      <c r="H231" s="32"/>
    </row>
    <row r="232" spans="2:8" hidden="1">
      <c r="B232" s="32"/>
      <c r="C232" s="32"/>
      <c r="D232" s="32"/>
      <c r="E232" s="32"/>
      <c r="F232" s="32"/>
      <c r="G232" s="32"/>
      <c r="H232" s="32"/>
    </row>
    <row r="233" spans="2:8" hidden="1">
      <c r="B233" s="32"/>
      <c r="C233" s="32"/>
      <c r="D233" s="32"/>
      <c r="E233" s="32"/>
      <c r="F233" s="32"/>
      <c r="G233" s="32"/>
      <c r="H233" s="32"/>
    </row>
    <row r="234" spans="2:8" hidden="1">
      <c r="B234" s="32"/>
      <c r="C234" s="32"/>
      <c r="D234" s="32"/>
      <c r="E234" s="32"/>
      <c r="F234" s="32"/>
      <c r="G234" s="32"/>
      <c r="H234" s="32"/>
    </row>
    <row r="235" spans="2:8" hidden="1">
      <c r="B235" s="32"/>
      <c r="C235" s="32"/>
      <c r="D235" s="32"/>
      <c r="E235" s="32"/>
      <c r="F235" s="32"/>
      <c r="G235" s="32"/>
      <c r="H235" s="32"/>
    </row>
    <row r="236" spans="2:8" hidden="1">
      <c r="B236" s="32"/>
      <c r="C236" s="32"/>
      <c r="D236" s="32"/>
      <c r="E236" s="32"/>
      <c r="F236" s="32"/>
      <c r="G236" s="32"/>
      <c r="H236" s="32"/>
    </row>
    <row r="237" spans="2:8" hidden="1">
      <c r="B237" s="32"/>
      <c r="C237" s="32"/>
      <c r="D237" s="32"/>
      <c r="E237" s="32"/>
      <c r="F237" s="32"/>
      <c r="G237" s="32"/>
      <c r="H237" s="32"/>
    </row>
    <row r="238" spans="2:8" hidden="1">
      <c r="B238" s="32"/>
      <c r="C238" s="32"/>
      <c r="D238" s="32"/>
      <c r="E238" s="32"/>
      <c r="F238" s="32"/>
      <c r="G238" s="32"/>
      <c r="H238" s="32"/>
    </row>
    <row r="239" spans="2:8" hidden="1">
      <c r="B239" s="32"/>
      <c r="C239" s="32"/>
      <c r="D239" s="32"/>
      <c r="E239" s="32"/>
      <c r="F239" s="32"/>
      <c r="G239" s="32"/>
      <c r="H239" s="32"/>
    </row>
    <row r="240" spans="2:8" hidden="1">
      <c r="B240" s="32"/>
      <c r="C240" s="32"/>
      <c r="D240" s="32"/>
      <c r="E240" s="32"/>
      <c r="F240" s="32"/>
      <c r="G240" s="32"/>
      <c r="H240" s="32"/>
    </row>
    <row r="241" spans="2:8" hidden="1">
      <c r="B241" s="32"/>
      <c r="C241" s="32"/>
      <c r="D241" s="32"/>
      <c r="E241" s="32"/>
      <c r="F241" s="32"/>
      <c r="G241" s="32"/>
      <c r="H241" s="32"/>
    </row>
    <row r="242" spans="2:8" hidden="1">
      <c r="B242" s="32"/>
      <c r="C242" s="32"/>
      <c r="D242" s="32"/>
      <c r="E242" s="32"/>
      <c r="F242" s="32"/>
      <c r="G242" s="32"/>
      <c r="H242" s="32"/>
    </row>
    <row r="243" spans="2:8" hidden="1">
      <c r="B243" s="32"/>
      <c r="C243" s="32"/>
      <c r="D243" s="32"/>
      <c r="E243" s="32"/>
      <c r="F243" s="32"/>
      <c r="G243" s="32"/>
      <c r="H243" s="32"/>
    </row>
    <row r="244" spans="2:8" hidden="1">
      <c r="B244" s="32"/>
      <c r="C244" s="32"/>
      <c r="D244" s="32"/>
      <c r="E244" s="32"/>
      <c r="F244" s="32"/>
      <c r="G244" s="32"/>
      <c r="H244" s="32"/>
    </row>
    <row r="245" spans="2:8" hidden="1">
      <c r="B245" s="32"/>
      <c r="C245" s="32"/>
      <c r="D245" s="32"/>
      <c r="E245" s="32"/>
      <c r="F245" s="32"/>
      <c r="G245" s="32"/>
      <c r="H245" s="32"/>
    </row>
    <row r="246" spans="2:8" hidden="1">
      <c r="B246" s="32"/>
      <c r="C246" s="32"/>
      <c r="D246" s="32"/>
      <c r="E246" s="32"/>
      <c r="F246" s="32"/>
      <c r="G246" s="32"/>
      <c r="H246" s="32"/>
    </row>
    <row r="247" spans="2:8" hidden="1">
      <c r="B247" s="32"/>
      <c r="C247" s="32"/>
      <c r="D247" s="32"/>
      <c r="E247" s="32"/>
      <c r="F247" s="32"/>
      <c r="G247" s="32"/>
      <c r="H247" s="32"/>
    </row>
    <row r="248" spans="2:8" hidden="1">
      <c r="B248" s="32"/>
      <c r="C248" s="32"/>
      <c r="D248" s="32"/>
      <c r="E248" s="32"/>
      <c r="F248" s="32"/>
      <c r="G248" s="32"/>
      <c r="H248" s="32"/>
    </row>
    <row r="249" spans="2:8" hidden="1">
      <c r="B249" s="32"/>
      <c r="C249" s="32"/>
      <c r="D249" s="32"/>
      <c r="E249" s="32"/>
      <c r="F249" s="32"/>
      <c r="G249" s="32"/>
      <c r="H249" s="32"/>
    </row>
    <row r="250" spans="2:8" hidden="1">
      <c r="B250" s="32"/>
      <c r="C250" s="32"/>
      <c r="D250" s="32"/>
      <c r="E250" s="32"/>
      <c r="F250" s="32"/>
      <c r="G250" s="32"/>
      <c r="H250" s="32"/>
    </row>
    <row r="251" spans="2:8" hidden="1">
      <c r="B251" s="32"/>
      <c r="C251" s="32"/>
      <c r="D251" s="32"/>
      <c r="E251" s="32"/>
      <c r="F251" s="32"/>
      <c r="G251" s="32"/>
      <c r="H251" s="32"/>
    </row>
    <row r="252" spans="2:8" hidden="1">
      <c r="B252" s="32"/>
      <c r="C252" s="32"/>
      <c r="D252" s="32"/>
      <c r="E252" s="32"/>
      <c r="F252" s="32"/>
      <c r="G252" s="32"/>
      <c r="H252" s="32"/>
    </row>
    <row r="253" spans="2:8" hidden="1">
      <c r="B253" s="32"/>
      <c r="C253" s="32"/>
      <c r="D253" s="32"/>
      <c r="E253" s="32"/>
      <c r="F253" s="32"/>
      <c r="G253" s="32"/>
      <c r="H253" s="32"/>
    </row>
    <row r="254" spans="2:8" hidden="1">
      <c r="B254" s="32"/>
      <c r="C254" s="32"/>
      <c r="D254" s="32"/>
      <c r="E254" s="32"/>
      <c r="F254" s="32"/>
      <c r="G254" s="32"/>
      <c r="H254" s="32"/>
    </row>
    <row r="255" spans="2:8" hidden="1">
      <c r="B255" s="32"/>
      <c r="C255" s="32"/>
      <c r="D255" s="32"/>
      <c r="E255" s="32"/>
      <c r="F255" s="32"/>
      <c r="G255" s="32"/>
      <c r="H255" s="32"/>
    </row>
    <row r="256" spans="2:8" hidden="1">
      <c r="B256" s="32"/>
      <c r="C256" s="32"/>
      <c r="D256" s="32"/>
      <c r="E256" s="32"/>
      <c r="F256" s="32"/>
      <c r="G256" s="32"/>
      <c r="H256" s="32"/>
    </row>
    <row r="257" spans="2:8" hidden="1">
      <c r="B257" s="32"/>
      <c r="C257" s="32"/>
      <c r="D257" s="32"/>
      <c r="E257" s="32"/>
      <c r="F257" s="32"/>
      <c r="G257" s="32"/>
      <c r="H257" s="32"/>
    </row>
    <row r="258" spans="2:8" hidden="1">
      <c r="B258" s="32"/>
      <c r="C258" s="32"/>
      <c r="D258" s="32"/>
      <c r="E258" s="32"/>
      <c r="F258" s="32"/>
      <c r="G258" s="32"/>
      <c r="H258" s="32"/>
    </row>
    <row r="259" spans="2:8" hidden="1">
      <c r="B259" s="32"/>
      <c r="C259" s="32"/>
      <c r="D259" s="32"/>
      <c r="E259" s="32"/>
      <c r="F259" s="32"/>
      <c r="G259" s="32"/>
      <c r="H259" s="32"/>
    </row>
    <row r="260" spans="2:8" hidden="1">
      <c r="B260" s="32"/>
      <c r="C260" s="32"/>
      <c r="D260" s="32"/>
      <c r="E260" s="32"/>
      <c r="F260" s="32"/>
      <c r="G260" s="32"/>
      <c r="H260" s="32"/>
    </row>
    <row r="261" spans="2:8" hidden="1">
      <c r="B261" s="32"/>
      <c r="C261" s="32"/>
      <c r="D261" s="32"/>
      <c r="E261" s="32"/>
      <c r="F261" s="32"/>
      <c r="G261" s="32"/>
      <c r="H261" s="32"/>
    </row>
    <row r="262" spans="2:8" hidden="1">
      <c r="B262" s="32"/>
      <c r="C262" s="32"/>
      <c r="D262" s="32"/>
      <c r="E262" s="32"/>
      <c r="F262" s="32"/>
      <c r="G262" s="32"/>
      <c r="H262" s="32"/>
    </row>
    <row r="263" spans="2:8" hidden="1">
      <c r="B263" s="32"/>
      <c r="C263" s="32"/>
      <c r="D263" s="32"/>
      <c r="E263" s="32"/>
      <c r="F263" s="32"/>
      <c r="G263" s="32"/>
      <c r="H263" s="32"/>
    </row>
    <row r="264" spans="2:8" hidden="1">
      <c r="B264" s="32"/>
      <c r="C264" s="32"/>
      <c r="D264" s="32"/>
      <c r="E264" s="32"/>
      <c r="F264" s="32"/>
      <c r="G264" s="32"/>
      <c r="H264" s="32"/>
    </row>
    <row r="265" spans="2:8" hidden="1">
      <c r="B265" s="32"/>
      <c r="C265" s="32"/>
      <c r="D265" s="32"/>
      <c r="E265" s="32"/>
      <c r="F265" s="32"/>
      <c r="G265" s="32"/>
      <c r="H265" s="32"/>
    </row>
    <row r="266" spans="2:8" hidden="1">
      <c r="B266" s="32"/>
      <c r="C266" s="32"/>
      <c r="D266" s="32"/>
      <c r="E266" s="32"/>
      <c r="F266" s="32"/>
      <c r="G266" s="32"/>
      <c r="H266" s="32"/>
    </row>
    <row r="267" spans="2:8" hidden="1">
      <c r="B267" s="32"/>
      <c r="C267" s="32"/>
      <c r="D267" s="32"/>
      <c r="E267" s="32"/>
      <c r="F267" s="32"/>
      <c r="G267" s="32"/>
      <c r="H267" s="32"/>
    </row>
    <row r="268" spans="2:8" hidden="1">
      <c r="B268" s="32"/>
      <c r="C268" s="32"/>
      <c r="D268" s="32"/>
      <c r="E268" s="32"/>
      <c r="F268" s="32"/>
      <c r="G268" s="32"/>
      <c r="H268" s="32"/>
    </row>
    <row r="269" spans="2:8" hidden="1">
      <c r="B269" s="32"/>
      <c r="C269" s="32"/>
      <c r="D269" s="32"/>
      <c r="E269" s="32"/>
      <c r="F269" s="32"/>
      <c r="G269" s="32"/>
      <c r="H269" s="32"/>
    </row>
    <row r="270" spans="2:8" hidden="1">
      <c r="B270" s="32"/>
      <c r="C270" s="32"/>
      <c r="D270" s="32"/>
      <c r="E270" s="32"/>
      <c r="F270" s="32"/>
      <c r="G270" s="32"/>
      <c r="H270" s="32"/>
    </row>
    <row r="271" spans="2:8" hidden="1">
      <c r="B271" s="32"/>
      <c r="C271" s="32"/>
      <c r="D271" s="32"/>
      <c r="E271" s="32"/>
      <c r="F271" s="32"/>
      <c r="G271" s="32"/>
      <c r="H271" s="32"/>
    </row>
    <row r="272" spans="2:8" hidden="1">
      <c r="B272" s="32"/>
      <c r="C272" s="32"/>
      <c r="D272" s="32"/>
      <c r="E272" s="32"/>
      <c r="F272" s="32"/>
      <c r="G272" s="32"/>
      <c r="H272" s="32"/>
    </row>
    <row r="273" spans="2:8" hidden="1">
      <c r="B273" s="32"/>
      <c r="C273" s="32"/>
      <c r="D273" s="32"/>
      <c r="E273" s="32"/>
      <c r="F273" s="32"/>
      <c r="G273" s="32"/>
      <c r="H273" s="32"/>
    </row>
    <row r="274" spans="2:8" hidden="1">
      <c r="B274" s="32"/>
      <c r="C274" s="32"/>
      <c r="D274" s="32"/>
      <c r="E274" s="32"/>
      <c r="F274" s="32"/>
      <c r="G274" s="32"/>
      <c r="H274" s="32"/>
    </row>
    <row r="275" spans="2:8" hidden="1">
      <c r="B275" s="32"/>
      <c r="C275" s="32"/>
      <c r="D275" s="32"/>
      <c r="E275" s="32"/>
      <c r="F275" s="32"/>
      <c r="G275" s="32"/>
      <c r="H275" s="32"/>
    </row>
    <row r="276" spans="2:8" hidden="1">
      <c r="B276" s="32"/>
      <c r="C276" s="32"/>
      <c r="D276" s="32"/>
      <c r="E276" s="32"/>
      <c r="F276" s="32"/>
      <c r="G276" s="32"/>
      <c r="H276" s="32"/>
    </row>
    <row r="277" spans="2:8" hidden="1">
      <c r="B277" s="32"/>
      <c r="C277" s="32"/>
      <c r="D277" s="32"/>
      <c r="E277" s="32"/>
      <c r="F277" s="32"/>
      <c r="G277" s="32"/>
      <c r="H277" s="32"/>
    </row>
    <row r="278" spans="2:8" hidden="1">
      <c r="B278" s="32"/>
      <c r="C278" s="32"/>
      <c r="D278" s="32"/>
      <c r="E278" s="32"/>
      <c r="F278" s="32"/>
      <c r="G278" s="32"/>
      <c r="H278" s="32"/>
    </row>
    <row r="279" spans="2:8" hidden="1">
      <c r="B279" s="32"/>
      <c r="C279" s="32"/>
      <c r="D279" s="32"/>
      <c r="E279" s="32"/>
      <c r="F279" s="32"/>
      <c r="G279" s="32"/>
      <c r="H279" s="32"/>
    </row>
    <row r="280" spans="2:8" hidden="1">
      <c r="B280" s="32"/>
      <c r="C280" s="32"/>
      <c r="D280" s="32"/>
      <c r="E280" s="32"/>
      <c r="F280" s="32"/>
      <c r="G280" s="32"/>
      <c r="H280" s="32"/>
    </row>
    <row r="281" spans="2:8" hidden="1">
      <c r="B281" s="32"/>
      <c r="C281" s="32"/>
      <c r="D281" s="32"/>
      <c r="E281" s="32"/>
      <c r="F281" s="32"/>
      <c r="G281" s="32"/>
      <c r="H281" s="32"/>
    </row>
    <row r="282" spans="2:8" hidden="1">
      <c r="B282" s="32"/>
      <c r="C282" s="32"/>
      <c r="D282" s="32"/>
      <c r="E282" s="32"/>
      <c r="F282" s="32"/>
      <c r="G282" s="32"/>
      <c r="H282" s="32"/>
    </row>
    <row r="283" spans="2:8" hidden="1">
      <c r="B283" s="32"/>
      <c r="C283" s="32"/>
      <c r="D283" s="32"/>
      <c r="E283" s="32"/>
      <c r="F283" s="32"/>
      <c r="G283" s="32"/>
      <c r="H283" s="32"/>
    </row>
    <row r="284" spans="2:8" hidden="1">
      <c r="B284" s="32"/>
      <c r="C284" s="32"/>
      <c r="D284" s="32"/>
      <c r="E284" s="32"/>
      <c r="F284" s="32"/>
      <c r="G284" s="32"/>
      <c r="H284" s="32"/>
    </row>
    <row r="285" spans="2:8" hidden="1">
      <c r="B285" s="32"/>
      <c r="C285" s="32"/>
      <c r="D285" s="32"/>
      <c r="E285" s="32"/>
      <c r="F285" s="32"/>
      <c r="G285" s="32"/>
      <c r="H285" s="32"/>
    </row>
    <row r="286" spans="2:8" hidden="1">
      <c r="B286" s="32"/>
      <c r="C286" s="32"/>
      <c r="D286" s="32"/>
      <c r="E286" s="32"/>
      <c r="F286" s="32"/>
      <c r="G286" s="32"/>
      <c r="H286" s="32"/>
    </row>
    <row r="287" spans="2:8" hidden="1">
      <c r="B287" s="32"/>
      <c r="C287" s="32"/>
      <c r="D287" s="32"/>
      <c r="E287" s="32"/>
      <c r="F287" s="32"/>
      <c r="G287" s="32"/>
      <c r="H287" s="32"/>
    </row>
    <row r="288" spans="2:8" hidden="1">
      <c r="B288" s="32"/>
      <c r="C288" s="32"/>
      <c r="D288" s="32"/>
      <c r="E288" s="32"/>
      <c r="F288" s="32"/>
      <c r="G288" s="32"/>
      <c r="H288" s="32"/>
    </row>
    <row r="289" spans="2:8" hidden="1">
      <c r="B289" s="32"/>
      <c r="C289" s="32"/>
      <c r="D289" s="32"/>
      <c r="E289" s="32"/>
      <c r="F289" s="32"/>
      <c r="G289" s="32"/>
      <c r="H289" s="32"/>
    </row>
    <row r="290" spans="2:8" hidden="1">
      <c r="B290" s="32"/>
      <c r="C290" s="32"/>
      <c r="D290" s="32"/>
      <c r="E290" s="32"/>
      <c r="F290" s="32"/>
      <c r="G290" s="32"/>
      <c r="H290" s="32"/>
    </row>
    <row r="291" spans="2:8" hidden="1">
      <c r="B291" s="32"/>
      <c r="C291" s="32"/>
      <c r="D291" s="32"/>
      <c r="E291" s="32"/>
      <c r="F291" s="32"/>
      <c r="G291" s="32"/>
      <c r="H291" s="32"/>
    </row>
    <row r="292" spans="2:8" hidden="1">
      <c r="B292" s="32"/>
      <c r="C292" s="32"/>
      <c r="D292" s="32"/>
      <c r="E292" s="32"/>
      <c r="F292" s="32"/>
      <c r="G292" s="32"/>
      <c r="H292" s="32"/>
    </row>
    <row r="293" spans="2:8" hidden="1">
      <c r="B293" s="32"/>
      <c r="C293" s="32"/>
      <c r="D293" s="32"/>
      <c r="E293" s="32"/>
      <c r="F293" s="32"/>
      <c r="G293" s="32"/>
      <c r="H293" s="32"/>
    </row>
    <row r="294" spans="2:8" hidden="1">
      <c r="B294" s="32"/>
      <c r="C294" s="32"/>
      <c r="D294" s="32"/>
      <c r="E294" s="32"/>
      <c r="F294" s="32"/>
      <c r="G294" s="32"/>
      <c r="H294" s="32"/>
    </row>
    <row r="295" spans="2:8" hidden="1">
      <c r="B295" s="32"/>
      <c r="C295" s="32"/>
      <c r="D295" s="32"/>
      <c r="E295" s="32"/>
      <c r="F295" s="32"/>
      <c r="G295" s="32"/>
      <c r="H295" s="32"/>
    </row>
    <row r="296" spans="2:8" hidden="1">
      <c r="B296" s="32"/>
      <c r="C296" s="32"/>
      <c r="D296" s="32"/>
      <c r="E296" s="32"/>
      <c r="F296" s="32"/>
      <c r="G296" s="32"/>
      <c r="H296" s="32"/>
    </row>
    <row r="297" spans="2:8" hidden="1">
      <c r="B297" s="32"/>
      <c r="C297" s="32"/>
      <c r="D297" s="32"/>
      <c r="E297" s="32"/>
      <c r="F297" s="32"/>
      <c r="G297" s="32"/>
      <c r="H297" s="32"/>
    </row>
    <row r="298" spans="2:8" hidden="1">
      <c r="B298" s="32"/>
      <c r="C298" s="32"/>
      <c r="D298" s="32"/>
      <c r="E298" s="32"/>
      <c r="F298" s="32"/>
      <c r="G298" s="32"/>
      <c r="H298" s="32"/>
    </row>
    <row r="299" spans="2:8" hidden="1">
      <c r="B299" s="32"/>
      <c r="C299" s="32"/>
      <c r="D299" s="32"/>
      <c r="E299" s="32"/>
      <c r="F299" s="32"/>
      <c r="G299" s="32"/>
      <c r="H299" s="32"/>
    </row>
    <row r="300" spans="2:8" hidden="1">
      <c r="B300" s="32"/>
      <c r="C300" s="32"/>
      <c r="D300" s="32"/>
      <c r="E300" s="32"/>
      <c r="F300" s="32"/>
      <c r="G300" s="32"/>
      <c r="H300" s="32"/>
    </row>
    <row r="301" spans="2:8" hidden="1">
      <c r="B301" s="32"/>
      <c r="C301" s="32"/>
      <c r="D301" s="32"/>
      <c r="E301" s="32"/>
      <c r="F301" s="32"/>
      <c r="G301" s="32"/>
      <c r="H301" s="32"/>
    </row>
    <row r="302" spans="2:8" hidden="1">
      <c r="B302" s="32"/>
      <c r="C302" s="32"/>
      <c r="D302" s="32"/>
      <c r="E302" s="32"/>
      <c r="F302" s="32"/>
      <c r="G302" s="32"/>
      <c r="H302" s="32"/>
    </row>
    <row r="303" spans="2:8" hidden="1">
      <c r="B303" s="32"/>
      <c r="C303" s="32"/>
      <c r="D303" s="32"/>
      <c r="E303" s="32"/>
      <c r="F303" s="32"/>
      <c r="G303" s="32"/>
      <c r="H303" s="32"/>
    </row>
    <row r="304" spans="2:8" hidden="1">
      <c r="B304" s="32"/>
      <c r="C304" s="32"/>
      <c r="D304" s="32"/>
      <c r="E304" s="32"/>
      <c r="F304" s="32"/>
      <c r="G304" s="32"/>
      <c r="H304" s="32"/>
    </row>
    <row r="305" spans="2:8" hidden="1">
      <c r="B305" s="32"/>
      <c r="C305" s="32"/>
      <c r="D305" s="32"/>
      <c r="E305" s="32"/>
      <c r="F305" s="32"/>
      <c r="G305" s="32"/>
      <c r="H305" s="32"/>
    </row>
    <row r="306" spans="2:8" hidden="1">
      <c r="B306" s="32"/>
      <c r="C306" s="32"/>
      <c r="D306" s="32"/>
      <c r="E306" s="32"/>
      <c r="F306" s="32"/>
      <c r="G306" s="32"/>
      <c r="H306" s="32"/>
    </row>
    <row r="307" spans="2:8" hidden="1">
      <c r="B307" s="32"/>
      <c r="C307" s="32"/>
      <c r="D307" s="32"/>
      <c r="E307" s="32"/>
      <c r="F307" s="32"/>
      <c r="G307" s="32"/>
      <c r="H307" s="32"/>
    </row>
    <row r="308" spans="2:8" hidden="1">
      <c r="B308" s="32"/>
      <c r="C308" s="32"/>
      <c r="D308" s="32"/>
      <c r="E308" s="32"/>
      <c r="F308" s="32"/>
      <c r="G308" s="32"/>
      <c r="H308" s="32"/>
    </row>
    <row r="309" spans="2:8" hidden="1">
      <c r="B309" s="32"/>
      <c r="C309" s="32"/>
      <c r="D309" s="32"/>
      <c r="E309" s="32"/>
      <c r="F309" s="32"/>
      <c r="G309" s="32"/>
      <c r="H309" s="32"/>
    </row>
    <row r="310" spans="2:8" hidden="1">
      <c r="B310" s="32"/>
      <c r="C310" s="32"/>
      <c r="D310" s="32"/>
      <c r="E310" s="32"/>
      <c r="F310" s="32"/>
      <c r="G310" s="32"/>
      <c r="H310" s="32"/>
    </row>
    <row r="311" spans="2:8" hidden="1">
      <c r="B311" s="32"/>
      <c r="C311" s="32"/>
      <c r="D311" s="32"/>
      <c r="E311" s="32"/>
      <c r="F311" s="32"/>
      <c r="G311" s="32"/>
      <c r="H311" s="32"/>
    </row>
    <row r="312" spans="2:8" hidden="1">
      <c r="B312" s="32"/>
      <c r="C312" s="32"/>
      <c r="D312" s="32"/>
      <c r="E312" s="32"/>
      <c r="F312" s="32"/>
      <c r="G312" s="32"/>
      <c r="H312" s="32"/>
    </row>
    <row r="313" spans="2:8" hidden="1">
      <c r="B313" s="32"/>
      <c r="C313" s="32"/>
      <c r="D313" s="32"/>
      <c r="E313" s="32"/>
      <c r="F313" s="32"/>
      <c r="G313" s="32"/>
      <c r="H313" s="32"/>
    </row>
    <row r="314" spans="2:8" hidden="1">
      <c r="B314" s="32"/>
      <c r="C314" s="32"/>
      <c r="D314" s="32"/>
      <c r="E314" s="32"/>
      <c r="F314" s="32"/>
      <c r="G314" s="32"/>
      <c r="H314" s="32"/>
    </row>
    <row r="315" spans="2:8" hidden="1">
      <c r="B315" s="32"/>
      <c r="C315" s="32"/>
      <c r="D315" s="32"/>
      <c r="E315" s="32"/>
      <c r="F315" s="32"/>
      <c r="G315" s="32"/>
      <c r="H315" s="32"/>
    </row>
    <row r="316" spans="2:8" hidden="1">
      <c r="B316" s="32"/>
      <c r="C316" s="32"/>
      <c r="D316" s="32"/>
      <c r="E316" s="32"/>
      <c r="F316" s="32"/>
      <c r="G316" s="32"/>
      <c r="H316" s="32"/>
    </row>
    <row r="317" spans="2:8" hidden="1">
      <c r="B317" s="32"/>
      <c r="C317" s="32"/>
      <c r="D317" s="32"/>
      <c r="E317" s="32"/>
      <c r="F317" s="32"/>
      <c r="G317" s="32"/>
      <c r="H317" s="32"/>
    </row>
    <row r="318" spans="2:8" hidden="1">
      <c r="B318" s="32"/>
      <c r="C318" s="32"/>
      <c r="D318" s="32"/>
      <c r="E318" s="32"/>
      <c r="F318" s="32"/>
      <c r="G318" s="32"/>
      <c r="H318" s="32"/>
    </row>
    <row r="319" spans="2:8" hidden="1">
      <c r="B319" s="32"/>
      <c r="C319" s="32"/>
      <c r="D319" s="32"/>
      <c r="E319" s="32"/>
      <c r="F319" s="32"/>
      <c r="G319" s="32"/>
      <c r="H319" s="32"/>
    </row>
    <row r="320" spans="2:8" hidden="1">
      <c r="B320" s="32"/>
      <c r="C320" s="32"/>
      <c r="D320" s="32"/>
      <c r="E320" s="32"/>
      <c r="F320" s="32"/>
      <c r="G320" s="32"/>
      <c r="H320" s="32"/>
    </row>
    <row r="321" spans="2:8" hidden="1">
      <c r="B321" s="32"/>
      <c r="C321" s="32"/>
      <c r="D321" s="32"/>
      <c r="E321" s="32"/>
      <c r="F321" s="32"/>
      <c r="G321" s="32"/>
      <c r="H321" s="32"/>
    </row>
    <row r="322" spans="2:8" hidden="1">
      <c r="B322" s="32"/>
      <c r="C322" s="32"/>
      <c r="D322" s="32"/>
      <c r="E322" s="32"/>
      <c r="F322" s="32"/>
      <c r="G322" s="32"/>
      <c r="H322" s="32"/>
    </row>
    <row r="323" spans="2:8" hidden="1">
      <c r="B323" s="32"/>
      <c r="C323" s="32"/>
      <c r="D323" s="32"/>
      <c r="E323" s="32"/>
      <c r="F323" s="32"/>
      <c r="G323" s="32"/>
      <c r="H323" s="32"/>
    </row>
    <row r="324" spans="2:8" hidden="1">
      <c r="B324" s="32"/>
      <c r="C324" s="32"/>
      <c r="D324" s="32"/>
      <c r="E324" s="32"/>
      <c r="F324" s="32"/>
      <c r="G324" s="32"/>
      <c r="H324" s="32"/>
    </row>
    <row r="325" spans="2:8" hidden="1">
      <c r="B325" s="32"/>
      <c r="C325" s="32"/>
      <c r="D325" s="32"/>
      <c r="E325" s="32"/>
      <c r="F325" s="32"/>
      <c r="G325" s="32"/>
      <c r="H325" s="32"/>
    </row>
    <row r="326" spans="2:8" hidden="1">
      <c r="B326" s="32"/>
      <c r="C326" s="32"/>
      <c r="D326" s="32"/>
      <c r="E326" s="32"/>
      <c r="F326" s="32"/>
      <c r="G326" s="32"/>
      <c r="H326" s="32"/>
    </row>
    <row r="327" spans="2:8" hidden="1">
      <c r="B327" s="32"/>
      <c r="C327" s="32"/>
      <c r="D327" s="32"/>
      <c r="E327" s="32"/>
      <c r="F327" s="32"/>
      <c r="G327" s="32"/>
      <c r="H327" s="32"/>
    </row>
    <row r="328" spans="2:8" hidden="1">
      <c r="B328" s="32"/>
      <c r="C328" s="32"/>
      <c r="D328" s="32"/>
      <c r="E328" s="32"/>
      <c r="F328" s="32"/>
      <c r="G328" s="32"/>
      <c r="H328" s="32"/>
    </row>
    <row r="329" spans="2:8" hidden="1">
      <c r="B329" s="32"/>
      <c r="C329" s="32"/>
      <c r="D329" s="32"/>
      <c r="E329" s="32"/>
      <c r="F329" s="32"/>
      <c r="G329" s="32"/>
      <c r="H329" s="32"/>
    </row>
    <row r="330" spans="2:8" hidden="1">
      <c r="B330" s="32"/>
      <c r="C330" s="32"/>
      <c r="D330" s="32"/>
      <c r="E330" s="32"/>
      <c r="F330" s="32"/>
      <c r="G330" s="32"/>
      <c r="H330" s="32"/>
    </row>
    <row r="331" spans="2:8" hidden="1">
      <c r="B331" s="32"/>
      <c r="C331" s="32"/>
      <c r="D331" s="32"/>
      <c r="E331" s="32"/>
      <c r="F331" s="32"/>
      <c r="G331" s="32"/>
      <c r="H331" s="32"/>
    </row>
    <row r="332" spans="2:8" hidden="1">
      <c r="B332" s="32"/>
      <c r="C332" s="32"/>
      <c r="D332" s="32"/>
      <c r="E332" s="32"/>
      <c r="F332" s="32"/>
      <c r="G332" s="32"/>
      <c r="H332" s="32"/>
    </row>
    <row r="333" spans="2:8" hidden="1">
      <c r="B333" s="32"/>
      <c r="C333" s="32"/>
      <c r="D333" s="32"/>
      <c r="E333" s="32"/>
      <c r="F333" s="32"/>
      <c r="G333" s="32"/>
      <c r="H333" s="32"/>
    </row>
    <row r="334" spans="2:8" hidden="1">
      <c r="B334" s="32"/>
      <c r="C334" s="32"/>
      <c r="D334" s="32"/>
      <c r="E334" s="32"/>
      <c r="F334" s="32"/>
      <c r="G334" s="32"/>
      <c r="H334" s="32"/>
    </row>
    <row r="335" spans="2:8" hidden="1">
      <c r="B335" s="32"/>
      <c r="C335" s="32"/>
      <c r="D335" s="32"/>
      <c r="E335" s="32"/>
      <c r="F335" s="32"/>
      <c r="G335" s="32"/>
      <c r="H335" s="32"/>
    </row>
    <row r="336" spans="2:8" hidden="1">
      <c r="B336" s="32"/>
      <c r="C336" s="32"/>
      <c r="D336" s="32"/>
      <c r="E336" s="32"/>
      <c r="F336" s="32"/>
      <c r="G336" s="32"/>
      <c r="H336" s="32"/>
    </row>
    <row r="337" spans="2:8" hidden="1">
      <c r="B337" s="32"/>
      <c r="C337" s="32"/>
      <c r="D337" s="32"/>
      <c r="E337" s="32"/>
      <c r="F337" s="32"/>
      <c r="G337" s="32"/>
      <c r="H337" s="32"/>
    </row>
    <row r="338" spans="2:8" hidden="1">
      <c r="B338" s="32"/>
      <c r="C338" s="32"/>
      <c r="D338" s="32"/>
      <c r="E338" s="32"/>
      <c r="F338" s="32"/>
      <c r="G338" s="32"/>
      <c r="H338" s="32"/>
    </row>
    <row r="339" spans="2:8" hidden="1">
      <c r="B339" s="32"/>
      <c r="C339" s="32"/>
      <c r="D339" s="32"/>
      <c r="E339" s="32"/>
      <c r="F339" s="32"/>
      <c r="G339" s="32"/>
      <c r="H339" s="32"/>
    </row>
    <row r="340" spans="2:8" hidden="1">
      <c r="B340" s="32"/>
      <c r="C340" s="32"/>
      <c r="D340" s="32"/>
      <c r="E340" s="32"/>
      <c r="F340" s="32"/>
      <c r="G340" s="32"/>
      <c r="H340" s="32"/>
    </row>
    <row r="341" spans="2:8" hidden="1">
      <c r="B341" s="32"/>
      <c r="C341" s="32"/>
      <c r="D341" s="32"/>
      <c r="E341" s="32"/>
      <c r="F341" s="32"/>
      <c r="G341" s="32"/>
      <c r="H341" s="32"/>
    </row>
    <row r="342" spans="2:8" hidden="1">
      <c r="B342" s="32"/>
      <c r="C342" s="32"/>
      <c r="D342" s="32"/>
      <c r="E342" s="32"/>
      <c r="F342" s="32"/>
      <c r="G342" s="32"/>
      <c r="H342" s="32"/>
    </row>
    <row r="343" spans="2:8" hidden="1">
      <c r="B343" s="32"/>
      <c r="C343" s="32"/>
      <c r="D343" s="32"/>
      <c r="E343" s="32"/>
      <c r="F343" s="32"/>
      <c r="G343" s="32"/>
      <c r="H343" s="32"/>
    </row>
    <row r="344" spans="2:8" hidden="1">
      <c r="B344" s="32"/>
      <c r="C344" s="32"/>
      <c r="D344" s="32"/>
      <c r="E344" s="32"/>
      <c r="F344" s="32"/>
      <c r="G344" s="32"/>
      <c r="H344" s="32"/>
    </row>
    <row r="345" spans="2:8" hidden="1">
      <c r="B345" s="32"/>
      <c r="C345" s="32"/>
      <c r="D345" s="32"/>
      <c r="E345" s="32"/>
      <c r="F345" s="32"/>
      <c r="G345" s="32"/>
      <c r="H345" s="32"/>
    </row>
    <row r="346" spans="2:8" hidden="1">
      <c r="B346" s="32"/>
      <c r="C346" s="32"/>
      <c r="D346" s="32"/>
      <c r="E346" s="32"/>
      <c r="F346" s="32"/>
      <c r="G346" s="32"/>
      <c r="H346" s="32"/>
    </row>
    <row r="347" spans="2:8" hidden="1">
      <c r="B347" s="32"/>
      <c r="C347" s="32"/>
      <c r="D347" s="32"/>
      <c r="E347" s="32"/>
      <c r="F347" s="32"/>
      <c r="G347" s="32"/>
      <c r="H347" s="32"/>
    </row>
    <row r="348" spans="2:8" hidden="1">
      <c r="B348" s="32"/>
      <c r="C348" s="32"/>
      <c r="D348" s="32"/>
      <c r="E348" s="32"/>
      <c r="F348" s="32"/>
      <c r="G348" s="32"/>
      <c r="H348" s="32"/>
    </row>
    <row r="349" spans="2:8" hidden="1">
      <c r="B349" s="32"/>
      <c r="C349" s="32"/>
      <c r="D349" s="32"/>
      <c r="E349" s="32"/>
      <c r="F349" s="32"/>
      <c r="G349" s="32"/>
      <c r="H349" s="32"/>
    </row>
    <row r="350" spans="2:8" hidden="1">
      <c r="B350" s="32"/>
      <c r="C350" s="32"/>
      <c r="D350" s="32"/>
      <c r="E350" s="32"/>
      <c r="F350" s="32"/>
      <c r="G350" s="32"/>
      <c r="H350" s="32"/>
    </row>
    <row r="351" spans="2:8" hidden="1">
      <c r="B351" s="32"/>
      <c r="C351" s="32"/>
      <c r="D351" s="32"/>
      <c r="E351" s="32"/>
      <c r="F351" s="32"/>
      <c r="G351" s="32"/>
      <c r="H351" s="32"/>
    </row>
    <row r="352" spans="2:8" hidden="1">
      <c r="B352" s="32"/>
      <c r="C352" s="32"/>
      <c r="D352" s="32"/>
      <c r="E352" s="32"/>
      <c r="F352" s="32"/>
      <c r="G352" s="32"/>
      <c r="H352" s="32"/>
    </row>
    <row r="353" spans="2:8" hidden="1">
      <c r="B353" s="32"/>
      <c r="C353" s="32"/>
      <c r="D353" s="32"/>
      <c r="E353" s="32"/>
      <c r="F353" s="32"/>
      <c r="G353" s="32"/>
      <c r="H353" s="32"/>
    </row>
    <row r="354" spans="2:8" hidden="1">
      <c r="B354" s="32"/>
      <c r="C354" s="32"/>
      <c r="D354" s="32"/>
      <c r="E354" s="32"/>
      <c r="F354" s="32"/>
      <c r="G354" s="32"/>
      <c r="H354" s="32"/>
    </row>
    <row r="355" spans="2:8" hidden="1">
      <c r="B355" s="32"/>
      <c r="C355" s="32"/>
      <c r="D355" s="32"/>
      <c r="E355" s="32"/>
      <c r="F355" s="32"/>
      <c r="G355" s="32"/>
      <c r="H355" s="32"/>
    </row>
    <row r="356" spans="2:8" hidden="1">
      <c r="B356" s="32"/>
      <c r="C356" s="32"/>
      <c r="D356" s="32"/>
      <c r="E356" s="32"/>
      <c r="F356" s="32"/>
      <c r="G356" s="32"/>
      <c r="H356" s="32"/>
    </row>
    <row r="357" spans="2:8" hidden="1">
      <c r="B357" s="32"/>
      <c r="C357" s="32"/>
      <c r="D357" s="32"/>
      <c r="E357" s="32"/>
      <c r="F357" s="32"/>
      <c r="G357" s="32"/>
      <c r="H357" s="32"/>
    </row>
    <row r="358" spans="2:8" hidden="1">
      <c r="B358" s="32"/>
      <c r="C358" s="32"/>
      <c r="D358" s="32"/>
      <c r="E358" s="32"/>
      <c r="F358" s="32"/>
      <c r="G358" s="32"/>
      <c r="H358" s="32"/>
    </row>
    <row r="359" spans="2:8" hidden="1">
      <c r="B359" s="32"/>
      <c r="C359" s="32"/>
      <c r="D359" s="32"/>
      <c r="E359" s="32"/>
      <c r="F359" s="32"/>
      <c r="G359" s="32"/>
      <c r="H359" s="32"/>
    </row>
    <row r="360" spans="2:8" hidden="1">
      <c r="B360" s="32"/>
      <c r="C360" s="32"/>
      <c r="D360" s="32"/>
      <c r="E360" s="32"/>
      <c r="F360" s="32"/>
      <c r="G360" s="32"/>
      <c r="H360" s="32"/>
    </row>
    <row r="361" spans="2:8" hidden="1">
      <c r="B361" s="32"/>
      <c r="C361" s="32"/>
      <c r="D361" s="32"/>
      <c r="E361" s="32"/>
      <c r="F361" s="32"/>
      <c r="G361" s="32"/>
      <c r="H361" s="32"/>
    </row>
    <row r="362" spans="2:8" hidden="1">
      <c r="B362" s="32"/>
      <c r="C362" s="32"/>
      <c r="D362" s="32"/>
      <c r="E362" s="32"/>
      <c r="F362" s="32"/>
      <c r="G362" s="32"/>
      <c r="H362" s="32"/>
    </row>
    <row r="363" spans="2:8" hidden="1">
      <c r="B363" s="32"/>
      <c r="C363" s="32"/>
      <c r="D363" s="32"/>
      <c r="E363" s="32"/>
      <c r="F363" s="32"/>
      <c r="G363" s="32"/>
      <c r="H363" s="32"/>
    </row>
    <row r="364" spans="2:8" hidden="1">
      <c r="B364" s="32"/>
      <c r="C364" s="32"/>
      <c r="D364" s="32"/>
      <c r="E364" s="32"/>
      <c r="F364" s="32"/>
      <c r="G364" s="32"/>
      <c r="H364" s="32"/>
    </row>
    <row r="365" spans="2:8" hidden="1">
      <c r="B365" s="32"/>
      <c r="C365" s="32"/>
      <c r="D365" s="32"/>
      <c r="E365" s="32"/>
      <c r="F365" s="32"/>
      <c r="G365" s="32"/>
      <c r="H365" s="32"/>
    </row>
    <row r="366" spans="2:8" hidden="1">
      <c r="B366" s="32"/>
      <c r="C366" s="32"/>
      <c r="D366" s="32"/>
      <c r="E366" s="32"/>
      <c r="F366" s="32"/>
      <c r="G366" s="32"/>
      <c r="H366" s="32"/>
    </row>
    <row r="367" spans="2:8" hidden="1">
      <c r="B367" s="32"/>
      <c r="C367" s="32"/>
      <c r="D367" s="32"/>
      <c r="E367" s="32"/>
      <c r="F367" s="32"/>
      <c r="G367" s="32"/>
      <c r="H367" s="32"/>
    </row>
    <row r="368" spans="2:8" hidden="1">
      <c r="B368" s="32"/>
      <c r="C368" s="32"/>
      <c r="D368" s="32"/>
      <c r="E368" s="32"/>
      <c r="F368" s="32"/>
      <c r="G368" s="32"/>
      <c r="H368" s="32"/>
    </row>
    <row r="369" spans="2:8" hidden="1">
      <c r="B369" s="32"/>
      <c r="C369" s="32"/>
      <c r="D369" s="32"/>
      <c r="E369" s="32"/>
      <c r="F369" s="32"/>
      <c r="G369" s="32"/>
      <c r="H369" s="32"/>
    </row>
    <row r="370" spans="2:8" hidden="1">
      <c r="B370" s="32"/>
      <c r="C370" s="32"/>
      <c r="D370" s="32"/>
      <c r="E370" s="32"/>
      <c r="F370" s="32"/>
      <c r="G370" s="32"/>
      <c r="H370" s="32"/>
    </row>
    <row r="371" spans="2:8" hidden="1">
      <c r="B371" s="32"/>
      <c r="C371" s="32"/>
      <c r="D371" s="32"/>
      <c r="E371" s="32"/>
      <c r="F371" s="32"/>
      <c r="G371" s="32"/>
      <c r="H371" s="32"/>
    </row>
    <row r="372" spans="2:8" hidden="1">
      <c r="B372" s="32"/>
      <c r="C372" s="32"/>
      <c r="D372" s="32"/>
      <c r="E372" s="32"/>
      <c r="F372" s="32"/>
      <c r="G372" s="32"/>
      <c r="H372" s="32"/>
    </row>
    <row r="373" spans="2:8" hidden="1">
      <c r="B373" s="32"/>
      <c r="C373" s="32"/>
      <c r="D373" s="32"/>
      <c r="E373" s="32"/>
      <c r="F373" s="32"/>
      <c r="G373" s="32"/>
      <c r="H373" s="32"/>
    </row>
    <row r="374" spans="2:8" hidden="1">
      <c r="B374" s="32"/>
      <c r="C374" s="32"/>
      <c r="D374" s="32"/>
      <c r="E374" s="32"/>
      <c r="F374" s="32"/>
      <c r="G374" s="32"/>
      <c r="H374" s="32"/>
    </row>
    <row r="375" spans="2:8" hidden="1">
      <c r="B375" s="32"/>
      <c r="C375" s="32"/>
      <c r="D375" s="32"/>
      <c r="E375" s="32"/>
      <c r="F375" s="32"/>
      <c r="G375" s="32"/>
      <c r="H375" s="32"/>
    </row>
    <row r="376" spans="2:8" hidden="1">
      <c r="B376" s="32"/>
      <c r="C376" s="32"/>
      <c r="D376" s="32"/>
      <c r="E376" s="32"/>
      <c r="F376" s="32"/>
      <c r="G376" s="32"/>
      <c r="H376" s="32"/>
    </row>
    <row r="377" spans="2:8" hidden="1">
      <c r="B377" s="32"/>
      <c r="C377" s="32"/>
      <c r="D377" s="32"/>
      <c r="E377" s="32"/>
      <c r="F377" s="32"/>
      <c r="G377" s="32"/>
      <c r="H377" s="32"/>
    </row>
    <row r="378" spans="2:8" hidden="1">
      <c r="B378" s="32"/>
      <c r="C378" s="32"/>
      <c r="D378" s="32"/>
      <c r="E378" s="32"/>
      <c r="F378" s="32"/>
      <c r="G378" s="32"/>
      <c r="H378" s="32"/>
    </row>
    <row r="379" spans="2:8" hidden="1">
      <c r="B379" s="32"/>
      <c r="C379" s="32"/>
      <c r="D379" s="32"/>
      <c r="E379" s="32"/>
      <c r="F379" s="32"/>
      <c r="G379" s="32"/>
      <c r="H379" s="32"/>
    </row>
    <row r="380" spans="2:8" hidden="1">
      <c r="B380" s="32"/>
      <c r="C380" s="32"/>
      <c r="D380" s="32"/>
      <c r="E380" s="32"/>
      <c r="F380" s="32"/>
      <c r="G380" s="32"/>
      <c r="H380" s="32"/>
    </row>
    <row r="381" spans="2:8" hidden="1">
      <c r="B381" s="32"/>
      <c r="C381" s="32"/>
      <c r="D381" s="32"/>
      <c r="E381" s="32"/>
      <c r="F381" s="32"/>
      <c r="G381" s="32"/>
      <c r="H381" s="32"/>
    </row>
    <row r="382" spans="2:8" hidden="1">
      <c r="B382" s="32"/>
      <c r="C382" s="32"/>
      <c r="D382" s="32"/>
      <c r="E382" s="32"/>
      <c r="F382" s="32"/>
      <c r="G382" s="32"/>
      <c r="H382" s="32"/>
    </row>
    <row r="383" spans="2:8" hidden="1">
      <c r="B383" s="32"/>
      <c r="C383" s="32"/>
      <c r="D383" s="32"/>
      <c r="E383" s="32"/>
      <c r="F383" s="32"/>
      <c r="G383" s="32"/>
      <c r="H383" s="32"/>
    </row>
    <row r="384" spans="2:8" hidden="1">
      <c r="B384" s="32"/>
      <c r="C384" s="32"/>
      <c r="D384" s="32"/>
      <c r="E384" s="32"/>
      <c r="F384" s="32"/>
      <c r="G384" s="32"/>
      <c r="H384" s="32"/>
    </row>
    <row r="385" spans="2:8" hidden="1">
      <c r="B385" s="32"/>
      <c r="C385" s="32"/>
      <c r="D385" s="32"/>
      <c r="E385" s="32"/>
      <c r="F385" s="32"/>
      <c r="G385" s="32"/>
      <c r="H385" s="32"/>
    </row>
    <row r="386" spans="2:8" hidden="1">
      <c r="B386" s="32"/>
      <c r="C386" s="32"/>
      <c r="D386" s="32"/>
      <c r="E386" s="32"/>
      <c r="F386" s="32"/>
      <c r="G386" s="32"/>
      <c r="H386" s="32"/>
    </row>
    <row r="387" spans="2:8" hidden="1">
      <c r="B387" s="32"/>
      <c r="C387" s="32"/>
      <c r="D387" s="32"/>
      <c r="E387" s="32"/>
      <c r="F387" s="32"/>
      <c r="G387" s="32"/>
      <c r="H387" s="32"/>
    </row>
    <row r="388" spans="2:8" hidden="1">
      <c r="B388" s="32"/>
      <c r="C388" s="32"/>
      <c r="D388" s="32"/>
      <c r="E388" s="32"/>
      <c r="F388" s="32"/>
      <c r="G388" s="32"/>
      <c r="H388" s="32"/>
    </row>
    <row r="389" spans="2:8" hidden="1">
      <c r="B389" s="32"/>
      <c r="C389" s="32"/>
      <c r="D389" s="32"/>
      <c r="E389" s="32"/>
      <c r="F389" s="32"/>
      <c r="G389" s="32"/>
      <c r="H389" s="32"/>
    </row>
    <row r="390" spans="2:8" hidden="1">
      <c r="B390" s="32"/>
      <c r="C390" s="32"/>
      <c r="D390" s="32"/>
      <c r="E390" s="32"/>
      <c r="F390" s="32"/>
      <c r="G390" s="32"/>
      <c r="H390" s="32"/>
    </row>
    <row r="391" spans="2:8" hidden="1">
      <c r="B391" s="32"/>
      <c r="C391" s="32"/>
      <c r="D391" s="32"/>
      <c r="E391" s="32"/>
      <c r="F391" s="32"/>
      <c r="G391" s="32"/>
      <c r="H391" s="32"/>
    </row>
    <row r="392" spans="2:8" hidden="1">
      <c r="B392" s="32"/>
      <c r="C392" s="32"/>
      <c r="D392" s="32"/>
      <c r="E392" s="32"/>
      <c r="F392" s="32"/>
      <c r="G392" s="32"/>
      <c r="H392" s="32"/>
    </row>
    <row r="393" spans="2:8" hidden="1">
      <c r="B393" s="32"/>
      <c r="C393" s="32"/>
      <c r="D393" s="32"/>
      <c r="E393" s="32"/>
      <c r="F393" s="32"/>
      <c r="G393" s="32"/>
      <c r="H393" s="32"/>
    </row>
    <row r="394" spans="2:8" hidden="1">
      <c r="B394" s="32"/>
      <c r="C394" s="32"/>
      <c r="D394" s="32"/>
      <c r="E394" s="32"/>
      <c r="F394" s="32"/>
      <c r="G394" s="32"/>
      <c r="H394" s="32"/>
    </row>
    <row r="395" spans="2:8" hidden="1">
      <c r="B395" s="32"/>
      <c r="C395" s="32"/>
      <c r="D395" s="32"/>
      <c r="E395" s="32"/>
      <c r="F395" s="32"/>
      <c r="G395" s="32"/>
      <c r="H395" s="32"/>
    </row>
    <row r="396" spans="2:8" hidden="1">
      <c r="B396" s="32"/>
      <c r="C396" s="32"/>
      <c r="D396" s="32"/>
      <c r="E396" s="32"/>
      <c r="F396" s="32"/>
      <c r="G396" s="32"/>
      <c r="H396" s="32"/>
    </row>
    <row r="397" spans="2:8" hidden="1">
      <c r="B397" s="32"/>
      <c r="C397" s="32"/>
      <c r="D397" s="32"/>
      <c r="E397" s="32"/>
      <c r="F397" s="32"/>
      <c r="G397" s="32"/>
      <c r="H397" s="32"/>
    </row>
    <row r="398" spans="2:8" hidden="1">
      <c r="B398" s="32"/>
      <c r="C398" s="32"/>
      <c r="D398" s="32"/>
      <c r="E398" s="32"/>
      <c r="F398" s="32"/>
      <c r="G398" s="32"/>
      <c r="H398" s="32"/>
    </row>
    <row r="399" spans="2:8" hidden="1">
      <c r="B399" s="32"/>
      <c r="C399" s="32"/>
      <c r="D399" s="32"/>
      <c r="E399" s="32"/>
      <c r="F399" s="32"/>
      <c r="G399" s="32"/>
      <c r="H399" s="32"/>
    </row>
    <row r="400" spans="2:8" hidden="1">
      <c r="B400" s="32"/>
      <c r="C400" s="32"/>
      <c r="D400" s="32"/>
      <c r="E400" s="32"/>
      <c r="F400" s="32"/>
      <c r="G400" s="32"/>
      <c r="H400" s="32"/>
    </row>
    <row r="401" spans="2:8" hidden="1">
      <c r="B401" s="32"/>
      <c r="C401" s="32"/>
      <c r="D401" s="32"/>
      <c r="E401" s="32"/>
      <c r="F401" s="32"/>
      <c r="G401" s="32"/>
      <c r="H401" s="32"/>
    </row>
    <row r="402" spans="2:8" hidden="1">
      <c r="B402" s="32"/>
      <c r="C402" s="32"/>
      <c r="D402" s="32"/>
      <c r="E402" s="32"/>
      <c r="F402" s="32"/>
      <c r="G402" s="32"/>
      <c r="H402" s="32"/>
    </row>
    <row r="403" spans="2:8" hidden="1">
      <c r="B403" s="32"/>
      <c r="C403" s="32"/>
      <c r="D403" s="32"/>
      <c r="E403" s="32"/>
      <c r="F403" s="32"/>
      <c r="G403" s="32"/>
      <c r="H403" s="32"/>
    </row>
    <row r="404" spans="2:8" hidden="1">
      <c r="B404" s="32"/>
      <c r="C404" s="32"/>
      <c r="D404" s="32"/>
      <c r="E404" s="32"/>
      <c r="F404" s="32"/>
      <c r="G404" s="32"/>
      <c r="H404" s="32"/>
    </row>
    <row r="405" spans="2:8" hidden="1">
      <c r="B405" s="32"/>
      <c r="C405" s="32"/>
      <c r="D405" s="32"/>
      <c r="E405" s="32"/>
      <c r="F405" s="32"/>
      <c r="G405" s="32"/>
      <c r="H405" s="32"/>
    </row>
    <row r="406" spans="2:8" hidden="1">
      <c r="B406" s="32"/>
      <c r="C406" s="32"/>
      <c r="D406" s="32"/>
      <c r="E406" s="32"/>
      <c r="F406" s="32"/>
      <c r="G406" s="32"/>
      <c r="H406" s="32"/>
    </row>
    <row r="407" spans="2:8" hidden="1">
      <c r="B407" s="32"/>
      <c r="C407" s="32"/>
      <c r="D407" s="32"/>
      <c r="E407" s="32"/>
      <c r="F407" s="32"/>
      <c r="G407" s="32"/>
      <c r="H407" s="32"/>
    </row>
    <row r="408" spans="2:8" hidden="1">
      <c r="B408" s="32"/>
      <c r="C408" s="32"/>
      <c r="D408" s="32"/>
      <c r="E408" s="32"/>
      <c r="F408" s="32"/>
      <c r="G408" s="32"/>
      <c r="H408" s="32"/>
    </row>
    <row r="409" spans="2:8" hidden="1">
      <c r="B409" s="32"/>
      <c r="C409" s="32"/>
      <c r="D409" s="32"/>
      <c r="E409" s="32"/>
      <c r="F409" s="32"/>
      <c r="G409" s="32"/>
      <c r="H409" s="32"/>
    </row>
    <row r="410" spans="2:8" hidden="1">
      <c r="B410" s="32"/>
      <c r="C410" s="32"/>
      <c r="D410" s="32"/>
      <c r="E410" s="32"/>
      <c r="F410" s="32"/>
      <c r="G410" s="32"/>
      <c r="H410" s="32"/>
    </row>
    <row r="411" spans="2:8" hidden="1">
      <c r="B411" s="32"/>
      <c r="C411" s="32"/>
      <c r="D411" s="32"/>
      <c r="E411" s="32"/>
      <c r="F411" s="32"/>
      <c r="G411" s="32"/>
      <c r="H411" s="32"/>
    </row>
    <row r="412" spans="2:8" hidden="1">
      <c r="B412" s="32"/>
      <c r="C412" s="32"/>
      <c r="D412" s="32"/>
      <c r="E412" s="32"/>
      <c r="F412" s="32"/>
      <c r="G412" s="32"/>
      <c r="H412" s="32"/>
    </row>
    <row r="413" spans="2:8" hidden="1">
      <c r="B413" s="32"/>
      <c r="C413" s="32"/>
      <c r="D413" s="32"/>
      <c r="E413" s="32"/>
      <c r="F413" s="32"/>
      <c r="G413" s="32"/>
      <c r="H413" s="32"/>
    </row>
    <row r="414" spans="2:8" hidden="1">
      <c r="B414" s="32"/>
      <c r="C414" s="32"/>
      <c r="D414" s="32"/>
      <c r="E414" s="32"/>
      <c r="F414" s="32"/>
      <c r="G414" s="32"/>
      <c r="H414" s="32"/>
    </row>
    <row r="415" spans="2:8" hidden="1">
      <c r="B415" s="32"/>
      <c r="C415" s="32"/>
      <c r="D415" s="32"/>
      <c r="E415" s="32"/>
      <c r="F415" s="32"/>
      <c r="G415" s="32"/>
      <c r="H415" s="32"/>
    </row>
    <row r="416" spans="2:8" hidden="1">
      <c r="B416" s="32"/>
      <c r="C416" s="32"/>
      <c r="D416" s="32"/>
      <c r="E416" s="32"/>
      <c r="F416" s="32"/>
      <c r="G416" s="32"/>
      <c r="H416" s="32"/>
    </row>
    <row r="417" spans="2:8" hidden="1">
      <c r="B417" s="32"/>
      <c r="C417" s="32"/>
      <c r="D417" s="32"/>
      <c r="E417" s="32"/>
      <c r="F417" s="32"/>
      <c r="G417" s="32"/>
      <c r="H417" s="32"/>
    </row>
    <row r="418" spans="2:8" hidden="1">
      <c r="B418" s="32"/>
      <c r="C418" s="32"/>
      <c r="D418" s="32"/>
      <c r="E418" s="32"/>
      <c r="F418" s="32"/>
      <c r="G418" s="32"/>
      <c r="H418" s="32"/>
    </row>
    <row r="419" spans="2:8" hidden="1">
      <c r="B419" s="32"/>
      <c r="C419" s="32"/>
      <c r="D419" s="32"/>
      <c r="E419" s="32"/>
      <c r="F419" s="32"/>
      <c r="G419" s="32"/>
      <c r="H419" s="32"/>
    </row>
    <row r="420" spans="2:8" hidden="1">
      <c r="B420" s="32"/>
      <c r="C420" s="32"/>
      <c r="D420" s="32"/>
      <c r="E420" s="32"/>
      <c r="F420" s="32"/>
      <c r="G420" s="32"/>
      <c r="H420" s="32"/>
    </row>
    <row r="421" spans="2:8" hidden="1">
      <c r="B421" s="32"/>
      <c r="C421" s="32"/>
      <c r="D421" s="32"/>
      <c r="E421" s="32"/>
      <c r="F421" s="32"/>
      <c r="G421" s="32"/>
      <c r="H421" s="32"/>
    </row>
    <row r="422" spans="2:8" hidden="1">
      <c r="B422" s="32"/>
      <c r="C422" s="32"/>
      <c r="D422" s="32"/>
      <c r="E422" s="32"/>
      <c r="F422" s="32"/>
      <c r="G422" s="32"/>
      <c r="H422" s="32"/>
    </row>
    <row r="423" spans="2:8" hidden="1">
      <c r="B423" s="32"/>
      <c r="C423" s="32"/>
      <c r="D423" s="32"/>
      <c r="E423" s="32"/>
      <c r="F423" s="32"/>
      <c r="G423" s="32"/>
      <c r="H423" s="32"/>
    </row>
    <row r="424" spans="2:8" hidden="1">
      <c r="B424" s="32"/>
      <c r="C424" s="32"/>
      <c r="D424" s="32"/>
      <c r="E424" s="32"/>
      <c r="F424" s="32"/>
      <c r="G424" s="32"/>
      <c r="H424" s="32"/>
    </row>
    <row r="425" spans="2:8" hidden="1">
      <c r="B425" s="32"/>
      <c r="C425" s="32"/>
      <c r="D425" s="32"/>
      <c r="E425" s="32"/>
      <c r="F425" s="32"/>
      <c r="G425" s="32"/>
      <c r="H425" s="32"/>
    </row>
    <row r="426" spans="2:8" hidden="1">
      <c r="B426" s="32"/>
      <c r="C426" s="32"/>
      <c r="D426" s="32"/>
      <c r="E426" s="32"/>
      <c r="F426" s="32"/>
      <c r="G426" s="32"/>
      <c r="H426" s="32"/>
    </row>
    <row r="427" spans="2:8" hidden="1">
      <c r="B427" s="32"/>
      <c r="C427" s="32"/>
      <c r="D427" s="32"/>
      <c r="E427" s="32"/>
      <c r="F427" s="32"/>
      <c r="G427" s="32"/>
      <c r="H427" s="32"/>
    </row>
    <row r="428" spans="2:8" hidden="1">
      <c r="B428" s="32"/>
      <c r="C428" s="32"/>
      <c r="D428" s="32"/>
      <c r="E428" s="32"/>
      <c r="F428" s="32"/>
      <c r="G428" s="32"/>
      <c r="H428" s="32"/>
    </row>
    <row r="429" spans="2:8" hidden="1">
      <c r="B429" s="32"/>
      <c r="C429" s="32"/>
      <c r="D429" s="32"/>
      <c r="E429" s="32"/>
      <c r="F429" s="32"/>
      <c r="G429" s="32"/>
      <c r="H429" s="32"/>
    </row>
    <row r="430" spans="2:8" hidden="1">
      <c r="B430" s="32"/>
      <c r="C430" s="32"/>
      <c r="D430" s="32"/>
      <c r="E430" s="32"/>
      <c r="F430" s="32"/>
      <c r="G430" s="32"/>
      <c r="H430" s="32"/>
    </row>
    <row r="431" spans="2:8" hidden="1">
      <c r="B431" s="32"/>
      <c r="C431" s="32"/>
      <c r="D431" s="32"/>
      <c r="E431" s="32"/>
      <c r="F431" s="32"/>
      <c r="G431" s="32"/>
      <c r="H431" s="32"/>
    </row>
    <row r="432" spans="2:8" hidden="1">
      <c r="B432" s="32"/>
      <c r="C432" s="32"/>
      <c r="D432" s="32"/>
      <c r="E432" s="32"/>
      <c r="F432" s="32"/>
      <c r="G432" s="32"/>
      <c r="H432" s="32"/>
    </row>
    <row r="433" spans="2:8" hidden="1">
      <c r="B433" s="32"/>
      <c r="C433" s="32"/>
      <c r="D433" s="32"/>
      <c r="E433" s="32"/>
      <c r="F433" s="32"/>
      <c r="G433" s="32"/>
      <c r="H433" s="32"/>
    </row>
    <row r="434" spans="2:8" hidden="1">
      <c r="B434" s="32"/>
      <c r="C434" s="32"/>
      <c r="D434" s="32"/>
      <c r="E434" s="32"/>
      <c r="F434" s="32"/>
      <c r="G434" s="32"/>
      <c r="H434" s="32"/>
    </row>
    <row r="435" spans="2:8" hidden="1">
      <c r="B435" s="32"/>
      <c r="C435" s="32"/>
      <c r="D435" s="32"/>
      <c r="E435" s="32"/>
      <c r="F435" s="32"/>
      <c r="G435" s="32"/>
      <c r="H435" s="32"/>
    </row>
    <row r="436" spans="2:8" hidden="1">
      <c r="B436" s="32"/>
      <c r="C436" s="32"/>
      <c r="D436" s="32"/>
      <c r="E436" s="32"/>
      <c r="F436" s="32"/>
      <c r="G436" s="32"/>
      <c r="H436" s="32"/>
    </row>
    <row r="437" spans="2:8" hidden="1">
      <c r="B437" s="32"/>
      <c r="C437" s="32"/>
      <c r="D437" s="32"/>
      <c r="E437" s="32"/>
      <c r="F437" s="32"/>
      <c r="G437" s="32"/>
      <c r="H437" s="32"/>
    </row>
    <row r="438" spans="2:8" hidden="1">
      <c r="B438" s="32"/>
      <c r="C438" s="32"/>
      <c r="D438" s="32"/>
      <c r="E438" s="32"/>
      <c r="F438" s="32"/>
      <c r="G438" s="32"/>
      <c r="H438" s="32"/>
    </row>
    <row r="439" spans="2:8" hidden="1">
      <c r="B439" s="32"/>
      <c r="C439" s="32"/>
      <c r="D439" s="32"/>
      <c r="E439" s="32"/>
      <c r="F439" s="32"/>
      <c r="G439" s="32"/>
      <c r="H439" s="32"/>
    </row>
    <row r="440" spans="2:8" hidden="1">
      <c r="B440" s="32"/>
      <c r="C440" s="32"/>
      <c r="D440" s="32"/>
      <c r="E440" s="32"/>
      <c r="F440" s="32"/>
      <c r="G440" s="32"/>
      <c r="H440" s="32"/>
    </row>
    <row r="441" spans="2:8" hidden="1">
      <c r="B441" s="32"/>
      <c r="C441" s="32"/>
      <c r="D441" s="32"/>
      <c r="E441" s="32"/>
      <c r="F441" s="32"/>
      <c r="G441" s="32"/>
      <c r="H441" s="32"/>
    </row>
    <row r="442" spans="2:8" hidden="1">
      <c r="B442" s="32"/>
      <c r="C442" s="32"/>
      <c r="D442" s="32"/>
      <c r="E442" s="32"/>
      <c r="F442" s="32"/>
      <c r="G442" s="32"/>
      <c r="H442" s="32"/>
    </row>
    <row r="443" spans="2:8" hidden="1">
      <c r="B443" s="32"/>
      <c r="C443" s="32"/>
      <c r="D443" s="32"/>
      <c r="E443" s="32"/>
      <c r="F443" s="32"/>
      <c r="G443" s="32"/>
      <c r="H443" s="32"/>
    </row>
    <row r="444" spans="2:8" hidden="1">
      <c r="B444" s="32"/>
      <c r="C444" s="32"/>
      <c r="D444" s="32"/>
      <c r="E444" s="32"/>
      <c r="F444" s="32"/>
      <c r="G444" s="32"/>
      <c r="H444" s="32"/>
    </row>
    <row r="445" spans="2:8" hidden="1">
      <c r="B445" s="32"/>
      <c r="C445" s="32"/>
      <c r="D445" s="32"/>
      <c r="E445" s="32"/>
      <c r="F445" s="32"/>
      <c r="G445" s="32"/>
      <c r="H445" s="32"/>
    </row>
    <row r="446" spans="2:8" hidden="1">
      <c r="B446" s="32"/>
      <c r="C446" s="32"/>
      <c r="D446" s="32"/>
      <c r="E446" s="32"/>
      <c r="F446" s="32"/>
      <c r="G446" s="32"/>
      <c r="H446" s="32"/>
    </row>
    <row r="447" spans="2:8" hidden="1">
      <c r="B447" s="32"/>
      <c r="C447" s="32"/>
      <c r="D447" s="32"/>
      <c r="E447" s="32"/>
      <c r="F447" s="32"/>
      <c r="G447" s="32"/>
      <c r="H447" s="32"/>
    </row>
    <row r="448" spans="2:8" hidden="1">
      <c r="B448" s="32"/>
      <c r="C448" s="32"/>
      <c r="D448" s="32"/>
      <c r="E448" s="32"/>
      <c r="F448" s="32"/>
      <c r="G448" s="32"/>
      <c r="H448" s="32"/>
    </row>
    <row r="449" spans="2:8" hidden="1">
      <c r="B449" s="32"/>
      <c r="C449" s="32"/>
      <c r="D449" s="32"/>
      <c r="E449" s="32"/>
      <c r="F449" s="32"/>
      <c r="G449" s="32"/>
      <c r="H449" s="32"/>
    </row>
    <row r="450" spans="2:8" hidden="1">
      <c r="B450" s="32"/>
      <c r="C450" s="32"/>
      <c r="D450" s="32"/>
      <c r="E450" s="32"/>
      <c r="F450" s="32"/>
      <c r="G450" s="32"/>
      <c r="H450" s="32"/>
    </row>
    <row r="451" spans="2:8" hidden="1">
      <c r="B451" s="32"/>
      <c r="C451" s="32"/>
      <c r="D451" s="32"/>
      <c r="E451" s="32"/>
      <c r="F451" s="32"/>
      <c r="G451" s="32"/>
      <c r="H451" s="32"/>
    </row>
    <row r="452" spans="2:8" hidden="1">
      <c r="B452" s="32"/>
      <c r="C452" s="32"/>
      <c r="D452" s="32"/>
      <c r="E452" s="32"/>
      <c r="F452" s="32"/>
      <c r="G452" s="32"/>
      <c r="H452" s="32"/>
    </row>
    <row r="453" spans="2:8" hidden="1">
      <c r="B453" s="32"/>
      <c r="C453" s="32"/>
      <c r="D453" s="32"/>
      <c r="E453" s="32"/>
      <c r="F453" s="32"/>
      <c r="G453" s="32"/>
      <c r="H453" s="32"/>
    </row>
    <row r="454" spans="2:8" hidden="1">
      <c r="B454" s="32"/>
      <c r="C454" s="32"/>
      <c r="D454" s="32"/>
      <c r="E454" s="32"/>
      <c r="F454" s="32"/>
      <c r="G454" s="32"/>
      <c r="H454" s="32"/>
    </row>
    <row r="455" spans="2:8" hidden="1">
      <c r="B455" s="32"/>
      <c r="C455" s="32"/>
      <c r="D455" s="32"/>
      <c r="E455" s="32"/>
      <c r="F455" s="32"/>
      <c r="G455" s="32"/>
      <c r="H455" s="32"/>
    </row>
    <row r="456" spans="2:8" hidden="1">
      <c r="B456" s="32"/>
      <c r="C456" s="32"/>
      <c r="D456" s="32"/>
      <c r="E456" s="32"/>
      <c r="F456" s="32"/>
      <c r="G456" s="32"/>
      <c r="H456" s="32"/>
    </row>
    <row r="457" spans="2:8" hidden="1">
      <c r="B457" s="32"/>
      <c r="C457" s="32"/>
      <c r="D457" s="32"/>
      <c r="E457" s="32"/>
      <c r="F457" s="32"/>
      <c r="G457" s="32"/>
      <c r="H457" s="32"/>
    </row>
    <row r="458" spans="2:8" hidden="1">
      <c r="B458" s="32"/>
      <c r="C458" s="32"/>
      <c r="D458" s="32"/>
      <c r="E458" s="32"/>
      <c r="F458" s="32"/>
      <c r="G458" s="32"/>
      <c r="H458" s="32"/>
    </row>
    <row r="459" spans="2:8" hidden="1">
      <c r="B459" s="32"/>
      <c r="C459" s="32"/>
      <c r="D459" s="32"/>
      <c r="E459" s="32"/>
      <c r="F459" s="32"/>
      <c r="G459" s="32"/>
      <c r="H459" s="32"/>
    </row>
    <row r="460" spans="2:8" hidden="1">
      <c r="B460" s="32"/>
      <c r="C460" s="32"/>
      <c r="D460" s="32"/>
      <c r="E460" s="32"/>
      <c r="F460" s="32"/>
      <c r="G460" s="32"/>
      <c r="H460" s="32"/>
    </row>
    <row r="461" spans="2:8" hidden="1">
      <c r="B461" s="32"/>
      <c r="C461" s="32"/>
      <c r="D461" s="32"/>
      <c r="E461" s="32"/>
      <c r="F461" s="32"/>
      <c r="G461" s="32"/>
      <c r="H461" s="32"/>
    </row>
    <row r="462" spans="2:8" hidden="1">
      <c r="B462" s="32"/>
      <c r="C462" s="32"/>
      <c r="D462" s="32"/>
      <c r="E462" s="32"/>
      <c r="F462" s="32"/>
      <c r="G462" s="32"/>
      <c r="H462" s="32"/>
    </row>
    <row r="463" spans="2:8" hidden="1">
      <c r="B463" s="32"/>
      <c r="C463" s="32"/>
      <c r="D463" s="32"/>
      <c r="E463" s="32"/>
      <c r="F463" s="32"/>
      <c r="G463" s="32"/>
      <c r="H463" s="32"/>
    </row>
    <row r="464" spans="2:8" hidden="1">
      <c r="B464" s="32"/>
      <c r="C464" s="32"/>
      <c r="D464" s="32"/>
      <c r="E464" s="32"/>
      <c r="F464" s="32"/>
      <c r="G464" s="32"/>
      <c r="H464" s="32"/>
    </row>
    <row r="465" spans="2:8" hidden="1">
      <c r="B465" s="32"/>
      <c r="C465" s="32"/>
      <c r="D465" s="32"/>
      <c r="E465" s="32"/>
      <c r="F465" s="32"/>
      <c r="G465" s="32"/>
      <c r="H465" s="32"/>
    </row>
    <row r="466" spans="2:8" hidden="1">
      <c r="B466" s="32"/>
      <c r="C466" s="32"/>
      <c r="D466" s="32"/>
      <c r="E466" s="32"/>
      <c r="F466" s="32"/>
      <c r="G466" s="32"/>
      <c r="H466" s="32"/>
    </row>
    <row r="467" spans="2:8" hidden="1">
      <c r="B467" s="32"/>
      <c r="C467" s="32"/>
      <c r="D467" s="32"/>
      <c r="E467" s="32"/>
      <c r="F467" s="32"/>
      <c r="G467" s="32"/>
      <c r="H467" s="32"/>
    </row>
    <row r="468" spans="2:8" hidden="1">
      <c r="B468" s="32"/>
      <c r="C468" s="32"/>
      <c r="D468" s="32"/>
      <c r="E468" s="32"/>
      <c r="F468" s="32"/>
      <c r="G468" s="32"/>
      <c r="H468" s="32"/>
    </row>
    <row r="469" spans="2:8" hidden="1">
      <c r="B469" s="32"/>
      <c r="C469" s="32"/>
      <c r="D469" s="32"/>
      <c r="E469" s="32"/>
      <c r="F469" s="32"/>
      <c r="G469" s="32"/>
      <c r="H469" s="32"/>
    </row>
    <row r="470" spans="2:8" hidden="1">
      <c r="B470" s="32"/>
      <c r="C470" s="32"/>
      <c r="D470" s="32"/>
      <c r="E470" s="32"/>
      <c r="F470" s="32"/>
      <c r="G470" s="32"/>
      <c r="H470" s="32"/>
    </row>
    <row r="471" spans="2:8" hidden="1">
      <c r="B471" s="32"/>
      <c r="C471" s="32"/>
      <c r="D471" s="32"/>
      <c r="E471" s="32"/>
      <c r="F471" s="32"/>
      <c r="G471" s="32"/>
      <c r="H471" s="32"/>
    </row>
    <row r="472" spans="2:8" hidden="1">
      <c r="B472" s="32"/>
      <c r="C472" s="32"/>
      <c r="D472" s="32"/>
      <c r="E472" s="32"/>
      <c r="F472" s="32"/>
      <c r="G472" s="32"/>
      <c r="H472" s="32"/>
    </row>
    <row r="473" spans="2:8" hidden="1">
      <c r="B473" s="32"/>
      <c r="C473" s="32"/>
      <c r="D473" s="32"/>
      <c r="E473" s="32"/>
      <c r="F473" s="32"/>
      <c r="G473" s="32"/>
      <c r="H473" s="32"/>
    </row>
    <row r="474" spans="2:8" hidden="1">
      <c r="B474" s="32"/>
      <c r="C474" s="32"/>
      <c r="D474" s="32"/>
      <c r="E474" s="32"/>
      <c r="F474" s="32"/>
      <c r="G474" s="32"/>
      <c r="H474" s="32"/>
    </row>
    <row r="475" spans="2:8" hidden="1">
      <c r="B475" s="32"/>
      <c r="C475" s="32"/>
      <c r="D475" s="32"/>
      <c r="E475" s="32"/>
      <c r="F475" s="32"/>
      <c r="G475" s="32"/>
      <c r="H475" s="32"/>
    </row>
    <row r="476" spans="2:8" hidden="1">
      <c r="B476" s="32"/>
      <c r="C476" s="32"/>
      <c r="D476" s="32"/>
      <c r="E476" s="32"/>
      <c r="F476" s="32"/>
      <c r="G476" s="32"/>
      <c r="H476" s="32"/>
    </row>
    <row r="477" spans="2:8" hidden="1">
      <c r="B477" s="32"/>
      <c r="C477" s="32"/>
      <c r="D477" s="32"/>
      <c r="E477" s="32"/>
      <c r="F477" s="32"/>
      <c r="G477" s="32"/>
      <c r="H477" s="32"/>
    </row>
    <row r="478" spans="2:8" hidden="1">
      <c r="B478" s="32"/>
      <c r="C478" s="32"/>
      <c r="D478" s="32"/>
      <c r="E478" s="32"/>
      <c r="F478" s="32"/>
      <c r="G478" s="32"/>
      <c r="H478" s="32"/>
    </row>
    <row r="479" spans="2:8" hidden="1">
      <c r="B479" s="32"/>
      <c r="C479" s="32"/>
      <c r="D479" s="32"/>
      <c r="E479" s="32"/>
      <c r="F479" s="32"/>
      <c r="G479" s="32"/>
      <c r="H479" s="32"/>
    </row>
    <row r="480" spans="2:8" hidden="1">
      <c r="B480" s="32"/>
      <c r="C480" s="32"/>
      <c r="D480" s="32"/>
      <c r="E480" s="32"/>
      <c r="F480" s="32"/>
      <c r="G480" s="32"/>
      <c r="H480" s="32"/>
    </row>
    <row r="481" spans="2:8" hidden="1">
      <c r="B481" s="32"/>
      <c r="C481" s="32"/>
      <c r="D481" s="32"/>
      <c r="E481" s="32"/>
      <c r="F481" s="32"/>
      <c r="G481" s="32"/>
      <c r="H481" s="32"/>
    </row>
    <row r="482" spans="2:8" hidden="1">
      <c r="B482" s="32"/>
      <c r="C482" s="32"/>
      <c r="D482" s="32"/>
      <c r="E482" s="32"/>
      <c r="F482" s="32"/>
      <c r="G482" s="32"/>
      <c r="H482" s="32"/>
    </row>
    <row r="483" spans="2:8" hidden="1">
      <c r="B483" s="32"/>
      <c r="C483" s="32"/>
      <c r="D483" s="32"/>
      <c r="E483" s="32"/>
      <c r="F483" s="32"/>
      <c r="G483" s="32"/>
      <c r="H483" s="32"/>
    </row>
    <row r="484" spans="2:8" hidden="1">
      <c r="B484" s="32"/>
      <c r="C484" s="32"/>
      <c r="D484" s="32"/>
      <c r="E484" s="32"/>
      <c r="F484" s="32"/>
      <c r="G484" s="32"/>
      <c r="H484" s="32"/>
    </row>
    <row r="485" spans="2:8" hidden="1">
      <c r="B485" s="32"/>
      <c r="C485" s="32"/>
      <c r="D485" s="32"/>
      <c r="E485" s="32"/>
      <c r="F485" s="32"/>
      <c r="G485" s="32"/>
      <c r="H485" s="32"/>
    </row>
    <row r="486" spans="2:8" hidden="1">
      <c r="B486" s="32"/>
      <c r="C486" s="32"/>
      <c r="D486" s="32"/>
      <c r="E486" s="32"/>
      <c r="F486" s="32"/>
      <c r="G486" s="32"/>
      <c r="H486" s="32"/>
    </row>
    <row r="487" spans="2:8" hidden="1">
      <c r="B487" s="32"/>
      <c r="C487" s="32"/>
      <c r="D487" s="32"/>
      <c r="E487" s="32"/>
      <c r="F487" s="32"/>
      <c r="G487" s="32"/>
      <c r="H487" s="32"/>
    </row>
    <row r="488" spans="2:8" hidden="1">
      <c r="B488" s="32"/>
      <c r="C488" s="32"/>
      <c r="D488" s="32"/>
      <c r="E488" s="32"/>
      <c r="F488" s="32"/>
      <c r="G488" s="32"/>
      <c r="H488" s="32"/>
    </row>
    <row r="489" spans="2:8" hidden="1">
      <c r="B489" s="32"/>
      <c r="C489" s="32"/>
      <c r="D489" s="32"/>
      <c r="E489" s="32"/>
      <c r="F489" s="32"/>
      <c r="G489" s="32"/>
      <c r="H489" s="32"/>
    </row>
    <row r="490" spans="2:8" hidden="1">
      <c r="B490" s="32"/>
      <c r="C490" s="32"/>
      <c r="D490" s="32"/>
      <c r="E490" s="32"/>
      <c r="F490" s="32"/>
      <c r="G490" s="32"/>
      <c r="H490" s="32"/>
    </row>
    <row r="491" spans="2:8" hidden="1">
      <c r="B491" s="32"/>
      <c r="C491" s="32"/>
      <c r="D491" s="32"/>
      <c r="E491" s="32"/>
      <c r="F491" s="32"/>
      <c r="G491" s="32"/>
      <c r="H491" s="32"/>
    </row>
    <row r="492" spans="2:8" hidden="1">
      <c r="B492" s="32"/>
      <c r="C492" s="32"/>
      <c r="D492" s="32"/>
      <c r="E492" s="32"/>
      <c r="F492" s="32"/>
      <c r="G492" s="32"/>
      <c r="H492" s="32"/>
    </row>
    <row r="493" spans="2:8" hidden="1">
      <c r="B493" s="32"/>
      <c r="C493" s="32"/>
      <c r="D493" s="32"/>
      <c r="E493" s="32"/>
      <c r="F493" s="32"/>
      <c r="G493" s="32"/>
      <c r="H493" s="32"/>
    </row>
    <row r="494" spans="2:8" hidden="1">
      <c r="B494" s="32"/>
      <c r="C494" s="32"/>
      <c r="D494" s="32"/>
      <c r="E494" s="32"/>
      <c r="F494" s="32"/>
      <c r="G494" s="32"/>
      <c r="H494" s="32"/>
    </row>
    <row r="495" spans="2:8" hidden="1">
      <c r="B495" s="32"/>
      <c r="C495" s="32"/>
      <c r="D495" s="32"/>
      <c r="E495" s="32"/>
      <c r="F495" s="32"/>
      <c r="G495" s="32"/>
      <c r="H495" s="32"/>
    </row>
    <row r="496" spans="2:8" hidden="1">
      <c r="B496" s="32"/>
      <c r="C496" s="32"/>
      <c r="D496" s="32"/>
      <c r="E496" s="32"/>
      <c r="F496" s="32"/>
      <c r="G496" s="32"/>
      <c r="H496" s="32"/>
    </row>
    <row r="497" spans="2:8" hidden="1">
      <c r="B497" s="32"/>
      <c r="C497" s="32"/>
      <c r="D497" s="32"/>
      <c r="E497" s="32"/>
      <c r="F497" s="32"/>
      <c r="G497" s="32"/>
      <c r="H497" s="32"/>
    </row>
    <row r="498" spans="2:8" hidden="1">
      <c r="B498" s="32"/>
      <c r="C498" s="32"/>
      <c r="D498" s="32"/>
      <c r="E498" s="32"/>
      <c r="F498" s="32"/>
      <c r="G498" s="32"/>
      <c r="H498" s="32"/>
    </row>
    <row r="499" spans="2:8" hidden="1">
      <c r="B499" s="32"/>
      <c r="C499" s="32"/>
      <c r="D499" s="32"/>
      <c r="E499" s="32"/>
      <c r="F499" s="32"/>
      <c r="G499" s="32"/>
      <c r="H499" s="32"/>
    </row>
    <row r="500" spans="2:8" hidden="1">
      <c r="B500" s="32"/>
      <c r="C500" s="32"/>
      <c r="D500" s="32"/>
      <c r="E500" s="32"/>
      <c r="F500" s="32"/>
      <c r="G500" s="32"/>
      <c r="H500" s="32"/>
    </row>
    <row r="501" spans="2:8" hidden="1">
      <c r="B501" s="32"/>
      <c r="C501" s="32"/>
      <c r="D501" s="32"/>
      <c r="E501" s="32"/>
      <c r="F501" s="32"/>
      <c r="G501" s="32"/>
      <c r="H501" s="32"/>
    </row>
    <row r="502" spans="2:8" hidden="1">
      <c r="B502" s="32"/>
      <c r="C502" s="32"/>
      <c r="D502" s="32"/>
      <c r="E502" s="32"/>
      <c r="F502" s="32"/>
      <c r="G502" s="32"/>
      <c r="H502" s="32"/>
    </row>
    <row r="503" spans="2:8" hidden="1">
      <c r="B503" s="32"/>
      <c r="C503" s="32"/>
      <c r="D503" s="32"/>
      <c r="E503" s="32"/>
      <c r="F503" s="32"/>
      <c r="G503" s="32"/>
      <c r="H503" s="32"/>
    </row>
    <row r="504" spans="2:8" hidden="1">
      <c r="B504" s="32"/>
      <c r="C504" s="32"/>
      <c r="D504" s="32"/>
      <c r="E504" s="32"/>
      <c r="F504" s="32"/>
      <c r="G504" s="32"/>
      <c r="H504" s="32"/>
    </row>
    <row r="505" spans="2:8" hidden="1">
      <c r="B505" s="32"/>
      <c r="C505" s="32"/>
      <c r="D505" s="32"/>
      <c r="E505" s="32"/>
      <c r="F505" s="32"/>
      <c r="G505" s="32"/>
      <c r="H505" s="32"/>
    </row>
    <row r="506" spans="2:8" hidden="1">
      <c r="B506" s="32"/>
      <c r="C506" s="32"/>
      <c r="D506" s="32"/>
      <c r="E506" s="32"/>
      <c r="F506" s="32"/>
      <c r="G506" s="32"/>
      <c r="H506" s="32"/>
    </row>
    <row r="507" spans="2:8" hidden="1">
      <c r="B507" s="32"/>
      <c r="C507" s="32"/>
      <c r="D507" s="32"/>
      <c r="E507" s="32"/>
      <c r="F507" s="32"/>
      <c r="G507" s="32"/>
      <c r="H507" s="32"/>
    </row>
    <row r="508" spans="2:8" hidden="1">
      <c r="B508" s="32"/>
      <c r="C508" s="32"/>
      <c r="D508" s="32"/>
      <c r="E508" s="32"/>
      <c r="F508" s="32"/>
      <c r="G508" s="32"/>
      <c r="H508" s="32"/>
    </row>
    <row r="509" spans="2:8" hidden="1">
      <c r="B509" s="32"/>
      <c r="C509" s="32"/>
      <c r="D509" s="32"/>
      <c r="E509" s="32"/>
      <c r="F509" s="32"/>
      <c r="G509" s="32"/>
      <c r="H509" s="32"/>
    </row>
    <row r="510" spans="2:8" hidden="1">
      <c r="B510" s="32"/>
      <c r="C510" s="32"/>
      <c r="D510" s="32"/>
      <c r="E510" s="32"/>
      <c r="F510" s="32"/>
      <c r="G510" s="32"/>
      <c r="H510" s="32"/>
    </row>
    <row r="511" spans="2:8" hidden="1">
      <c r="B511" s="32"/>
      <c r="C511" s="32"/>
      <c r="D511" s="32"/>
      <c r="E511" s="32"/>
      <c r="F511" s="32"/>
      <c r="G511" s="32"/>
      <c r="H511" s="32"/>
    </row>
    <row r="512" spans="2:8" hidden="1">
      <c r="B512" s="32"/>
      <c r="C512" s="32"/>
      <c r="D512" s="32"/>
      <c r="E512" s="32"/>
      <c r="F512" s="32"/>
      <c r="G512" s="32"/>
      <c r="H512" s="32"/>
    </row>
    <row r="513" spans="2:8" hidden="1">
      <c r="B513" s="32"/>
      <c r="C513" s="32"/>
      <c r="D513" s="32"/>
      <c r="E513" s="32"/>
      <c r="F513" s="32"/>
      <c r="G513" s="32"/>
      <c r="H513" s="32"/>
    </row>
    <row r="514" spans="2:8" hidden="1">
      <c r="B514" s="32"/>
      <c r="C514" s="32"/>
      <c r="D514" s="32"/>
      <c r="E514" s="32"/>
      <c r="F514" s="32"/>
      <c r="G514" s="32"/>
      <c r="H514" s="32"/>
    </row>
    <row r="515" spans="2:8" hidden="1">
      <c r="B515" s="32"/>
      <c r="C515" s="32"/>
      <c r="D515" s="32"/>
      <c r="E515" s="32"/>
      <c r="F515" s="32"/>
      <c r="G515" s="32"/>
      <c r="H515" s="32"/>
    </row>
    <row r="516" spans="2:8" hidden="1">
      <c r="B516" s="32"/>
      <c r="C516" s="32"/>
      <c r="D516" s="32"/>
      <c r="E516" s="32"/>
      <c r="F516" s="32"/>
      <c r="G516" s="32"/>
      <c r="H516" s="32"/>
    </row>
    <row r="517" spans="2:8" hidden="1">
      <c r="B517" s="32"/>
      <c r="C517" s="32"/>
      <c r="D517" s="32"/>
      <c r="E517" s="32"/>
      <c r="F517" s="32"/>
      <c r="G517" s="32"/>
      <c r="H517" s="32"/>
    </row>
    <row r="518" spans="2:8" hidden="1">
      <c r="B518" s="32"/>
      <c r="C518" s="32"/>
      <c r="D518" s="32"/>
      <c r="E518" s="32"/>
      <c r="F518" s="32"/>
      <c r="G518" s="32"/>
      <c r="H518" s="32"/>
    </row>
    <row r="519" spans="2:8" hidden="1">
      <c r="B519" s="32"/>
      <c r="C519" s="32"/>
      <c r="D519" s="32"/>
      <c r="E519" s="32"/>
      <c r="F519" s="32"/>
      <c r="G519" s="32"/>
      <c r="H519" s="32"/>
    </row>
    <row r="520" spans="2:8" hidden="1">
      <c r="B520" s="32"/>
      <c r="C520" s="32"/>
      <c r="D520" s="32"/>
      <c r="E520" s="32"/>
      <c r="F520" s="32"/>
      <c r="G520" s="32"/>
      <c r="H520" s="32"/>
    </row>
    <row r="521" spans="2:8" hidden="1">
      <c r="B521" s="32"/>
      <c r="C521" s="32"/>
      <c r="D521" s="32"/>
      <c r="E521" s="32"/>
      <c r="F521" s="32"/>
      <c r="G521" s="32"/>
      <c r="H521" s="32"/>
    </row>
    <row r="522" spans="2:8" hidden="1">
      <c r="B522" s="32"/>
      <c r="C522" s="32"/>
      <c r="D522" s="32"/>
      <c r="E522" s="32"/>
      <c r="F522" s="32"/>
      <c r="G522" s="32"/>
      <c r="H522" s="32"/>
    </row>
    <row r="523" spans="2:8" hidden="1">
      <c r="B523" s="32"/>
      <c r="C523" s="32"/>
      <c r="D523" s="32"/>
      <c r="E523" s="32"/>
      <c r="F523" s="32"/>
      <c r="G523" s="32"/>
      <c r="H523" s="32"/>
    </row>
    <row r="524" spans="2:8" hidden="1">
      <c r="B524" s="32"/>
      <c r="C524" s="32"/>
      <c r="D524" s="32"/>
      <c r="E524" s="32"/>
      <c r="F524" s="32"/>
      <c r="G524" s="32"/>
      <c r="H524" s="32"/>
    </row>
    <row r="525" spans="2:8" hidden="1">
      <c r="B525" s="32"/>
      <c r="C525" s="32"/>
      <c r="D525" s="32"/>
      <c r="E525" s="32"/>
      <c r="F525" s="32"/>
      <c r="G525" s="32"/>
      <c r="H525" s="32"/>
    </row>
    <row r="526" spans="2:8" hidden="1">
      <c r="B526" s="32"/>
      <c r="C526" s="32"/>
      <c r="D526" s="32"/>
      <c r="E526" s="32"/>
      <c r="F526" s="32"/>
      <c r="G526" s="32"/>
      <c r="H526" s="32"/>
    </row>
    <row r="527" spans="2:8" hidden="1">
      <c r="B527" s="32"/>
      <c r="C527" s="32"/>
      <c r="D527" s="32"/>
      <c r="E527" s="32"/>
      <c r="F527" s="32"/>
      <c r="G527" s="32"/>
      <c r="H527" s="32"/>
    </row>
    <row r="528" spans="2:8" hidden="1">
      <c r="B528" s="32"/>
      <c r="C528" s="32"/>
      <c r="D528" s="32"/>
      <c r="E528" s="32"/>
      <c r="F528" s="32"/>
      <c r="G528" s="32"/>
      <c r="H528" s="32"/>
    </row>
    <row r="529" spans="2:8" hidden="1">
      <c r="B529" s="32"/>
      <c r="C529" s="32"/>
      <c r="D529" s="32"/>
      <c r="E529" s="32"/>
      <c r="F529" s="32"/>
      <c r="G529" s="32"/>
      <c r="H529" s="32"/>
    </row>
    <row r="530" spans="2:8" hidden="1">
      <c r="B530" s="32"/>
      <c r="C530" s="32"/>
      <c r="D530" s="32"/>
      <c r="E530" s="32"/>
      <c r="F530" s="32"/>
      <c r="G530" s="32"/>
      <c r="H530" s="32"/>
    </row>
    <row r="531" spans="2:8" hidden="1">
      <c r="B531" s="32"/>
      <c r="C531" s="32"/>
      <c r="D531" s="32"/>
      <c r="E531" s="32"/>
      <c r="F531" s="32"/>
      <c r="G531" s="32"/>
      <c r="H531" s="32"/>
    </row>
    <row r="532" spans="2:8" hidden="1">
      <c r="B532" s="32"/>
      <c r="C532" s="32"/>
      <c r="D532" s="32"/>
      <c r="E532" s="32"/>
      <c r="F532" s="32"/>
      <c r="G532" s="32"/>
      <c r="H532" s="32"/>
    </row>
    <row r="533" spans="2:8" hidden="1">
      <c r="B533" s="32"/>
      <c r="C533" s="32"/>
      <c r="D533" s="32"/>
      <c r="E533" s="32"/>
      <c r="F533" s="32"/>
      <c r="G533" s="32"/>
      <c r="H533" s="32"/>
    </row>
    <row r="534" spans="2:8" hidden="1">
      <c r="B534" s="32"/>
      <c r="C534" s="32"/>
      <c r="D534" s="32"/>
      <c r="E534" s="32"/>
      <c r="F534" s="32"/>
      <c r="G534" s="32"/>
      <c r="H534" s="32"/>
    </row>
    <row r="535" spans="2:8" hidden="1">
      <c r="B535" s="32"/>
      <c r="C535" s="32"/>
      <c r="D535" s="32"/>
      <c r="E535" s="32"/>
      <c r="F535" s="32"/>
      <c r="G535" s="32"/>
      <c r="H535" s="32"/>
    </row>
    <row r="536" spans="2:8" hidden="1">
      <c r="B536" s="32"/>
      <c r="C536" s="32"/>
      <c r="D536" s="32"/>
      <c r="E536" s="32"/>
      <c r="F536" s="32"/>
      <c r="G536" s="32"/>
      <c r="H536" s="32"/>
    </row>
    <row r="537" spans="2:8" hidden="1">
      <c r="B537" s="32"/>
      <c r="C537" s="32"/>
      <c r="D537" s="32"/>
      <c r="E537" s="32"/>
      <c r="F537" s="32"/>
      <c r="G537" s="32"/>
      <c r="H537" s="32"/>
    </row>
    <row r="538" spans="2:8" hidden="1">
      <c r="B538" s="32"/>
      <c r="C538" s="32"/>
      <c r="D538" s="32"/>
      <c r="E538" s="32"/>
      <c r="F538" s="32"/>
      <c r="G538" s="32"/>
      <c r="H538" s="32"/>
    </row>
    <row r="539" spans="2:8" hidden="1">
      <c r="B539" s="32"/>
      <c r="C539" s="32"/>
      <c r="D539" s="32"/>
      <c r="E539" s="32"/>
      <c r="F539" s="32"/>
      <c r="G539" s="32"/>
      <c r="H539" s="32"/>
    </row>
    <row r="540" spans="2:8" hidden="1">
      <c r="B540" s="32"/>
      <c r="C540" s="32"/>
      <c r="D540" s="32"/>
      <c r="E540" s="32"/>
      <c r="F540" s="32"/>
      <c r="G540" s="32"/>
      <c r="H540" s="32"/>
    </row>
    <row r="541" spans="2:8" hidden="1">
      <c r="B541" s="32"/>
      <c r="C541" s="32"/>
      <c r="D541" s="32"/>
      <c r="E541" s="32"/>
      <c r="F541" s="32"/>
      <c r="G541" s="32"/>
      <c r="H541" s="32"/>
    </row>
    <row r="542" spans="2:8" hidden="1">
      <c r="B542" s="32"/>
      <c r="C542" s="32"/>
      <c r="D542" s="32"/>
      <c r="E542" s="32"/>
      <c r="F542" s="32"/>
      <c r="G542" s="32"/>
      <c r="H542" s="32"/>
    </row>
    <row r="543" spans="2:8" hidden="1">
      <c r="B543" s="32"/>
      <c r="C543" s="32"/>
      <c r="D543" s="32"/>
      <c r="E543" s="32"/>
      <c r="F543" s="32"/>
      <c r="G543" s="32"/>
      <c r="H543" s="32"/>
    </row>
    <row r="544" spans="2:8" hidden="1">
      <c r="B544" s="32"/>
      <c r="C544" s="32"/>
      <c r="D544" s="32"/>
      <c r="E544" s="32"/>
      <c r="F544" s="32"/>
      <c r="G544" s="32"/>
      <c r="H544" s="32"/>
    </row>
    <row r="545" spans="2:8" hidden="1">
      <c r="B545" s="32"/>
      <c r="C545" s="32"/>
      <c r="D545" s="32"/>
      <c r="E545" s="32"/>
      <c r="F545" s="32"/>
      <c r="G545" s="32"/>
      <c r="H545" s="32"/>
    </row>
    <row r="546" spans="2:8" hidden="1">
      <c r="B546" s="32"/>
      <c r="C546" s="32"/>
      <c r="D546" s="32"/>
      <c r="E546" s="32"/>
      <c r="F546" s="32"/>
      <c r="G546" s="32"/>
      <c r="H546" s="32"/>
    </row>
    <row r="547" spans="2:8" hidden="1">
      <c r="B547" s="32"/>
      <c r="C547" s="32"/>
      <c r="D547" s="32"/>
      <c r="E547" s="32"/>
      <c r="F547" s="32"/>
      <c r="G547" s="32"/>
      <c r="H547" s="32"/>
    </row>
    <row r="548" spans="2:8" hidden="1">
      <c r="B548" s="32"/>
      <c r="C548" s="32"/>
      <c r="D548" s="32"/>
      <c r="E548" s="32"/>
      <c r="F548" s="32"/>
      <c r="G548" s="32"/>
      <c r="H548" s="32"/>
    </row>
    <row r="549" spans="2:8" hidden="1">
      <c r="B549" s="32"/>
      <c r="C549" s="32"/>
      <c r="D549" s="32"/>
      <c r="E549" s="32"/>
      <c r="F549" s="32"/>
      <c r="G549" s="32"/>
      <c r="H549" s="32"/>
    </row>
    <row r="550" spans="2:8" hidden="1">
      <c r="B550" s="32"/>
      <c r="C550" s="32"/>
      <c r="D550" s="32"/>
      <c r="E550" s="32"/>
      <c r="F550" s="32"/>
      <c r="G550" s="32"/>
      <c r="H550" s="32"/>
    </row>
    <row r="551" spans="2:8" hidden="1">
      <c r="B551" s="32"/>
      <c r="C551" s="32"/>
      <c r="D551" s="32"/>
      <c r="E551" s="32"/>
      <c r="F551" s="32"/>
      <c r="G551" s="32"/>
      <c r="H551" s="32"/>
    </row>
    <row r="552" spans="2:8" hidden="1">
      <c r="B552" s="32"/>
      <c r="C552" s="32"/>
      <c r="D552" s="32"/>
      <c r="E552" s="32"/>
      <c r="F552" s="32"/>
      <c r="G552" s="32"/>
      <c r="H552" s="32"/>
    </row>
    <row r="553" spans="2:8" hidden="1">
      <c r="B553" s="32"/>
      <c r="C553" s="32"/>
      <c r="D553" s="32"/>
      <c r="E553" s="32"/>
      <c r="F553" s="32"/>
      <c r="G553" s="32"/>
      <c r="H553" s="32"/>
    </row>
    <row r="554" spans="2:8" hidden="1">
      <c r="B554" s="32"/>
      <c r="C554" s="32"/>
      <c r="D554" s="32"/>
      <c r="E554" s="32"/>
      <c r="F554" s="32"/>
      <c r="G554" s="32"/>
      <c r="H554" s="32"/>
    </row>
    <row r="555" spans="2:8" hidden="1">
      <c r="B555" s="32"/>
      <c r="C555" s="32"/>
      <c r="D555" s="32"/>
      <c r="E555" s="32"/>
      <c r="F555" s="32"/>
      <c r="G555" s="32"/>
      <c r="H555" s="32"/>
    </row>
    <row r="556" spans="2:8" hidden="1">
      <c r="B556" s="32"/>
      <c r="C556" s="32"/>
      <c r="D556" s="32"/>
      <c r="E556" s="32"/>
      <c r="F556" s="32"/>
      <c r="G556" s="32"/>
      <c r="H556" s="32"/>
    </row>
    <row r="557" spans="2:8" hidden="1">
      <c r="B557" s="32"/>
      <c r="C557" s="32"/>
      <c r="D557" s="32"/>
      <c r="E557" s="32"/>
      <c r="F557" s="32"/>
      <c r="G557" s="32"/>
      <c r="H557" s="32"/>
    </row>
    <row r="558" spans="2:8" hidden="1">
      <c r="B558" s="32"/>
      <c r="C558" s="32"/>
      <c r="D558" s="32"/>
      <c r="E558" s="32"/>
      <c r="F558" s="32"/>
      <c r="G558" s="32"/>
      <c r="H558" s="32"/>
    </row>
    <row r="559" spans="2:8" hidden="1">
      <c r="B559" s="32"/>
      <c r="C559" s="32"/>
      <c r="D559" s="32"/>
      <c r="E559" s="32"/>
      <c r="F559" s="32"/>
      <c r="G559" s="32"/>
      <c r="H559" s="32"/>
    </row>
    <row r="560" spans="2:8" hidden="1">
      <c r="B560" s="32"/>
      <c r="C560" s="32"/>
      <c r="D560" s="32"/>
      <c r="E560" s="32"/>
      <c r="F560" s="32"/>
      <c r="G560" s="32"/>
      <c r="H560" s="32"/>
    </row>
    <row r="561" spans="2:8" hidden="1">
      <c r="B561" s="32"/>
      <c r="C561" s="32"/>
      <c r="D561" s="32"/>
      <c r="E561" s="32"/>
      <c r="F561" s="32"/>
      <c r="G561" s="32"/>
      <c r="H561" s="32"/>
    </row>
    <row r="562" spans="2:8" hidden="1">
      <c r="B562" s="32"/>
      <c r="C562" s="32"/>
      <c r="D562" s="32"/>
      <c r="E562" s="32"/>
      <c r="F562" s="32"/>
      <c r="G562" s="32"/>
      <c r="H562" s="32"/>
    </row>
    <row r="563" spans="2:8" hidden="1">
      <c r="B563" s="32"/>
      <c r="C563" s="32"/>
      <c r="D563" s="32"/>
      <c r="E563" s="32"/>
      <c r="F563" s="32"/>
      <c r="G563" s="32"/>
      <c r="H563" s="32"/>
    </row>
    <row r="564" spans="2:8" hidden="1">
      <c r="B564" s="32"/>
      <c r="C564" s="32"/>
      <c r="D564" s="32"/>
      <c r="E564" s="32"/>
      <c r="F564" s="32"/>
      <c r="G564" s="32"/>
      <c r="H564" s="32"/>
    </row>
    <row r="565" spans="2:8" hidden="1">
      <c r="B565" s="32"/>
      <c r="C565" s="32"/>
      <c r="D565" s="32"/>
      <c r="E565" s="32"/>
      <c r="F565" s="32"/>
      <c r="G565" s="32"/>
      <c r="H565" s="32"/>
    </row>
    <row r="566" spans="2:8" hidden="1">
      <c r="B566" s="32"/>
      <c r="C566" s="32"/>
      <c r="D566" s="32"/>
      <c r="E566" s="32"/>
      <c r="F566" s="32"/>
      <c r="G566" s="32"/>
      <c r="H566" s="32"/>
    </row>
    <row r="567" spans="2:8" hidden="1">
      <c r="B567" s="32"/>
      <c r="C567" s="32"/>
      <c r="D567" s="32"/>
      <c r="E567" s="32"/>
      <c r="F567" s="32"/>
      <c r="G567" s="32"/>
      <c r="H567" s="32"/>
    </row>
    <row r="568" spans="2:8" hidden="1">
      <c r="B568" s="32"/>
      <c r="C568" s="32"/>
      <c r="D568" s="32"/>
      <c r="E568" s="32"/>
      <c r="F568" s="32"/>
      <c r="G568" s="32"/>
      <c r="H568" s="32"/>
    </row>
    <row r="569" spans="2:8" hidden="1">
      <c r="B569" s="32"/>
      <c r="C569" s="32"/>
      <c r="D569" s="32"/>
      <c r="E569" s="32"/>
      <c r="F569" s="32"/>
      <c r="G569" s="32"/>
      <c r="H569" s="32"/>
    </row>
    <row r="570" spans="2:8" hidden="1">
      <c r="B570" s="32"/>
      <c r="C570" s="32"/>
      <c r="D570" s="32"/>
      <c r="E570" s="32"/>
      <c r="F570" s="32"/>
      <c r="G570" s="32"/>
      <c r="H570" s="32"/>
    </row>
    <row r="571" spans="2:8" hidden="1">
      <c r="B571" s="32"/>
      <c r="C571" s="32"/>
      <c r="D571" s="32"/>
      <c r="E571" s="32"/>
      <c r="F571" s="32"/>
      <c r="G571" s="32"/>
      <c r="H571" s="32"/>
    </row>
    <row r="572" spans="2:8" hidden="1">
      <c r="B572" s="32"/>
      <c r="C572" s="32"/>
      <c r="D572" s="32"/>
      <c r="E572" s="32"/>
      <c r="F572" s="32"/>
      <c r="G572" s="32"/>
      <c r="H572" s="32"/>
    </row>
    <row r="573" spans="2:8" hidden="1">
      <c r="B573" s="32"/>
      <c r="C573" s="32"/>
      <c r="D573" s="32"/>
      <c r="E573" s="32"/>
      <c r="F573" s="32"/>
      <c r="G573" s="32"/>
      <c r="H573" s="32"/>
    </row>
    <row r="574" spans="2:8" hidden="1">
      <c r="B574" s="32"/>
      <c r="C574" s="32"/>
      <c r="D574" s="32"/>
      <c r="E574" s="32"/>
      <c r="F574" s="32"/>
      <c r="G574" s="32"/>
      <c r="H574" s="32"/>
    </row>
    <row r="575" spans="2:8" hidden="1">
      <c r="B575" s="32"/>
      <c r="C575" s="32"/>
      <c r="D575" s="32"/>
      <c r="E575" s="32"/>
      <c r="F575" s="32"/>
      <c r="G575" s="32"/>
      <c r="H575" s="32"/>
    </row>
    <row r="576" spans="2:8" hidden="1">
      <c r="B576" s="32"/>
      <c r="C576" s="32"/>
      <c r="D576" s="32"/>
      <c r="E576" s="32"/>
      <c r="F576" s="32"/>
      <c r="G576" s="32"/>
      <c r="H576" s="32"/>
    </row>
    <row r="577" spans="2:8" hidden="1">
      <c r="B577" s="32"/>
      <c r="C577" s="32"/>
      <c r="D577" s="32"/>
      <c r="E577" s="32"/>
      <c r="F577" s="32"/>
      <c r="G577" s="32"/>
      <c r="H577" s="32"/>
    </row>
    <row r="578" spans="2:8" hidden="1">
      <c r="B578" s="32"/>
      <c r="C578" s="32"/>
      <c r="D578" s="32"/>
      <c r="E578" s="32"/>
      <c r="F578" s="32"/>
      <c r="G578" s="32"/>
      <c r="H578" s="32"/>
    </row>
    <row r="579" spans="2:8" hidden="1">
      <c r="B579" s="32"/>
      <c r="C579" s="32"/>
      <c r="D579" s="32"/>
      <c r="E579" s="32"/>
      <c r="F579" s="32"/>
      <c r="G579" s="32"/>
      <c r="H579" s="32"/>
    </row>
    <row r="580" spans="2:8" hidden="1">
      <c r="B580" s="32"/>
      <c r="C580" s="32"/>
      <c r="D580" s="32"/>
      <c r="E580" s="32"/>
      <c r="F580" s="32"/>
      <c r="G580" s="32"/>
      <c r="H580" s="32"/>
    </row>
    <row r="581" spans="2:8" hidden="1">
      <c r="B581" s="32"/>
      <c r="C581" s="32"/>
      <c r="D581" s="32"/>
      <c r="E581" s="32"/>
      <c r="F581" s="32"/>
      <c r="G581" s="32"/>
      <c r="H581" s="32"/>
    </row>
    <row r="582" spans="2:8" hidden="1">
      <c r="B582" s="32"/>
      <c r="C582" s="32"/>
      <c r="D582" s="32"/>
      <c r="E582" s="32"/>
      <c r="F582" s="32"/>
      <c r="G582" s="32"/>
      <c r="H582" s="32"/>
    </row>
    <row r="583" spans="2:8" hidden="1">
      <c r="B583" s="32"/>
      <c r="C583" s="32"/>
      <c r="D583" s="32"/>
      <c r="E583" s="32"/>
      <c r="F583" s="32"/>
      <c r="G583" s="32"/>
      <c r="H583" s="32"/>
    </row>
    <row r="584" spans="2:8" hidden="1">
      <c r="B584" s="32"/>
      <c r="C584" s="32"/>
      <c r="D584" s="32"/>
      <c r="E584" s="32"/>
      <c r="F584" s="32"/>
      <c r="G584" s="32"/>
      <c r="H584" s="32"/>
    </row>
    <row r="585" spans="2:8" hidden="1">
      <c r="B585" s="32"/>
      <c r="C585" s="32"/>
      <c r="D585" s="32"/>
      <c r="E585" s="32"/>
      <c r="F585" s="32"/>
      <c r="G585" s="32"/>
      <c r="H585" s="32"/>
    </row>
    <row r="586" spans="2:8" hidden="1">
      <c r="B586" s="32"/>
      <c r="C586" s="32"/>
      <c r="D586" s="32"/>
      <c r="E586" s="32"/>
      <c r="F586" s="32"/>
      <c r="G586" s="32"/>
      <c r="H586" s="32"/>
    </row>
    <row r="587" spans="2:8" hidden="1">
      <c r="B587" s="32"/>
      <c r="C587" s="32"/>
      <c r="D587" s="32"/>
      <c r="E587" s="32"/>
      <c r="F587" s="32"/>
      <c r="G587" s="32"/>
      <c r="H587" s="32"/>
    </row>
    <row r="588" spans="2:8" hidden="1">
      <c r="B588" s="32"/>
      <c r="C588" s="32"/>
      <c r="D588" s="32"/>
      <c r="E588" s="32"/>
      <c r="F588" s="32"/>
      <c r="G588" s="32"/>
      <c r="H588" s="32"/>
    </row>
    <row r="589" spans="2:8" hidden="1">
      <c r="B589" s="32"/>
      <c r="C589" s="32"/>
      <c r="D589" s="32"/>
      <c r="E589" s="32"/>
      <c r="F589" s="32"/>
      <c r="G589" s="32"/>
      <c r="H589" s="32"/>
    </row>
    <row r="590" spans="2:8" hidden="1">
      <c r="B590" s="32"/>
      <c r="C590" s="32"/>
      <c r="D590" s="32"/>
      <c r="E590" s="32"/>
      <c r="F590" s="32"/>
      <c r="G590" s="32"/>
      <c r="H590" s="32"/>
    </row>
    <row r="591" spans="2:8" hidden="1">
      <c r="B591" s="32"/>
      <c r="C591" s="32"/>
      <c r="D591" s="32"/>
      <c r="E591" s="32"/>
      <c r="F591" s="32"/>
      <c r="G591" s="32"/>
      <c r="H591" s="32"/>
    </row>
    <row r="592" spans="2:8" hidden="1">
      <c r="B592" s="32"/>
      <c r="C592" s="32"/>
      <c r="D592" s="32"/>
      <c r="E592" s="32"/>
      <c r="F592" s="32"/>
      <c r="G592" s="32"/>
      <c r="H592" s="32"/>
    </row>
    <row r="593" spans="2:8" hidden="1">
      <c r="B593" s="32"/>
      <c r="C593" s="32"/>
      <c r="D593" s="32"/>
      <c r="E593" s="32"/>
      <c r="F593" s="32"/>
      <c r="G593" s="32"/>
      <c r="H593" s="32"/>
    </row>
    <row r="594" spans="2:8" hidden="1">
      <c r="B594" s="32"/>
      <c r="C594" s="32"/>
      <c r="D594" s="32"/>
      <c r="E594" s="32"/>
      <c r="F594" s="32"/>
      <c r="G594" s="32"/>
      <c r="H594" s="32"/>
    </row>
    <row r="595" spans="2:8" hidden="1">
      <c r="B595" s="32"/>
      <c r="C595" s="32"/>
      <c r="D595" s="32"/>
      <c r="E595" s="32"/>
      <c r="F595" s="32"/>
      <c r="G595" s="32"/>
      <c r="H595" s="32"/>
    </row>
    <row r="596" spans="2:8" hidden="1">
      <c r="B596" s="32"/>
      <c r="C596" s="32"/>
      <c r="D596" s="32"/>
      <c r="E596" s="32"/>
      <c r="F596" s="32"/>
      <c r="G596" s="32"/>
      <c r="H596" s="32"/>
    </row>
    <row r="597" spans="2:8" hidden="1">
      <c r="B597" s="32"/>
      <c r="C597" s="32"/>
      <c r="D597" s="32"/>
      <c r="E597" s="32"/>
      <c r="F597" s="32"/>
      <c r="G597" s="32"/>
      <c r="H597" s="32"/>
    </row>
    <row r="598" spans="2:8" hidden="1">
      <c r="B598" s="32"/>
      <c r="C598" s="32"/>
      <c r="D598" s="32"/>
      <c r="E598" s="32"/>
      <c r="F598" s="32"/>
      <c r="G598" s="32"/>
      <c r="H598" s="32"/>
    </row>
    <row r="599" spans="2:8" hidden="1">
      <c r="B599" s="32"/>
      <c r="C599" s="32"/>
      <c r="D599" s="32"/>
      <c r="E599" s="32"/>
      <c r="F599" s="32"/>
      <c r="G599" s="32"/>
      <c r="H599" s="32"/>
    </row>
    <row r="600" spans="2:8" hidden="1">
      <c r="B600" s="32"/>
      <c r="C600" s="32"/>
      <c r="D600" s="32"/>
      <c r="E600" s="32"/>
      <c r="F600" s="32"/>
      <c r="G600" s="32"/>
      <c r="H600" s="32"/>
    </row>
    <row r="601" spans="2:8" hidden="1">
      <c r="B601" s="32"/>
      <c r="C601" s="32"/>
      <c r="D601" s="32"/>
      <c r="E601" s="32"/>
      <c r="F601" s="32"/>
      <c r="G601" s="32"/>
      <c r="H601" s="32"/>
    </row>
    <row r="602" spans="2:8" hidden="1">
      <c r="B602" s="32"/>
      <c r="C602" s="32"/>
      <c r="D602" s="32"/>
      <c r="E602" s="32"/>
      <c r="F602" s="32"/>
      <c r="G602" s="32"/>
      <c r="H602" s="32"/>
    </row>
    <row r="603" spans="2:8" hidden="1">
      <c r="B603" s="32"/>
      <c r="C603" s="32"/>
      <c r="D603" s="32"/>
      <c r="E603" s="32"/>
      <c r="F603" s="32"/>
      <c r="G603" s="32"/>
      <c r="H603" s="32"/>
    </row>
    <row r="604" spans="2:8" hidden="1">
      <c r="B604" s="32"/>
      <c r="C604" s="32"/>
      <c r="D604" s="32"/>
      <c r="E604" s="32"/>
      <c r="F604" s="32"/>
      <c r="G604" s="32"/>
      <c r="H604" s="32"/>
    </row>
    <row r="605" spans="2:8" hidden="1">
      <c r="B605" s="32"/>
      <c r="C605" s="32"/>
      <c r="D605" s="32"/>
      <c r="E605" s="32"/>
      <c r="F605" s="32"/>
      <c r="G605" s="32"/>
      <c r="H605" s="32"/>
    </row>
    <row r="606" spans="2:8" hidden="1">
      <c r="B606" s="32"/>
      <c r="C606" s="32"/>
      <c r="D606" s="32"/>
      <c r="E606" s="32"/>
      <c r="F606" s="32"/>
      <c r="G606" s="32"/>
      <c r="H606" s="32"/>
    </row>
    <row r="607" spans="2:8" hidden="1">
      <c r="B607" s="32"/>
      <c r="C607" s="32"/>
      <c r="D607" s="32"/>
      <c r="E607" s="32"/>
      <c r="F607" s="32"/>
      <c r="G607" s="32"/>
      <c r="H607" s="32"/>
    </row>
    <row r="608" spans="2:8" hidden="1">
      <c r="B608" s="32"/>
      <c r="C608" s="32"/>
      <c r="D608" s="32"/>
      <c r="E608" s="32"/>
      <c r="F608" s="32"/>
      <c r="G608" s="32"/>
      <c r="H608" s="32"/>
    </row>
    <row r="609" spans="2:8" hidden="1">
      <c r="B609" s="32"/>
      <c r="C609" s="32"/>
      <c r="D609" s="32"/>
      <c r="E609" s="32"/>
      <c r="F609" s="32"/>
      <c r="G609" s="32"/>
      <c r="H609" s="32"/>
    </row>
    <row r="610" spans="2:8" hidden="1">
      <c r="B610" s="32"/>
      <c r="C610" s="32"/>
      <c r="D610" s="32"/>
      <c r="E610" s="32"/>
      <c r="F610" s="32"/>
      <c r="G610" s="32"/>
      <c r="H610" s="32"/>
    </row>
    <row r="611" spans="2:8" hidden="1">
      <c r="B611" s="32"/>
      <c r="C611" s="32"/>
      <c r="D611" s="32"/>
      <c r="E611" s="32"/>
      <c r="F611" s="32"/>
      <c r="G611" s="32"/>
      <c r="H611" s="32"/>
    </row>
    <row r="612" spans="2:8" hidden="1">
      <c r="B612" s="32"/>
      <c r="C612" s="32"/>
      <c r="D612" s="32"/>
      <c r="E612" s="32"/>
      <c r="F612" s="32"/>
      <c r="G612" s="32"/>
      <c r="H612" s="32"/>
    </row>
    <row r="613" spans="2:8" hidden="1">
      <c r="B613" s="32"/>
      <c r="C613" s="32"/>
      <c r="D613" s="32"/>
      <c r="E613" s="32"/>
      <c r="F613" s="32"/>
      <c r="G613" s="32"/>
      <c r="H613" s="32"/>
    </row>
    <row r="614" spans="2:8" hidden="1">
      <c r="B614" s="32"/>
      <c r="C614" s="32"/>
      <c r="D614" s="32"/>
      <c r="E614" s="32"/>
      <c r="F614" s="32"/>
      <c r="G614" s="32"/>
      <c r="H614" s="32"/>
    </row>
    <row r="615" spans="2:8" hidden="1">
      <c r="B615" s="32"/>
      <c r="C615" s="32"/>
      <c r="D615" s="32"/>
      <c r="E615" s="32"/>
      <c r="F615" s="32"/>
      <c r="G615" s="32"/>
      <c r="H615" s="32"/>
    </row>
    <row r="616" spans="2:8" hidden="1">
      <c r="B616" s="32"/>
      <c r="C616" s="32"/>
      <c r="D616" s="32"/>
      <c r="E616" s="32"/>
      <c r="F616" s="32"/>
      <c r="G616" s="32"/>
      <c r="H616" s="32"/>
    </row>
    <row r="617" spans="2:8" hidden="1">
      <c r="B617" s="32"/>
      <c r="C617" s="32"/>
      <c r="D617" s="32"/>
      <c r="E617" s="32"/>
      <c r="F617" s="32"/>
      <c r="G617" s="32"/>
      <c r="H617" s="32"/>
    </row>
    <row r="618" spans="2:8" hidden="1">
      <c r="B618" s="32"/>
      <c r="C618" s="32"/>
      <c r="D618" s="32"/>
      <c r="E618" s="32"/>
      <c r="F618" s="32"/>
      <c r="G618" s="32"/>
      <c r="H618" s="32"/>
    </row>
    <row r="619" spans="2:8" hidden="1">
      <c r="B619" s="32"/>
      <c r="C619" s="32"/>
      <c r="D619" s="32"/>
      <c r="E619" s="32"/>
      <c r="F619" s="32"/>
      <c r="G619" s="32"/>
      <c r="H619" s="32"/>
    </row>
    <row r="620" spans="2:8" hidden="1">
      <c r="B620" s="32"/>
      <c r="C620" s="32"/>
      <c r="D620" s="32"/>
      <c r="E620" s="32"/>
      <c r="F620" s="32"/>
      <c r="G620" s="32"/>
      <c r="H620" s="32"/>
    </row>
    <row r="621" spans="2:8" hidden="1">
      <c r="B621" s="32"/>
      <c r="C621" s="32"/>
      <c r="D621" s="32"/>
      <c r="E621" s="32"/>
      <c r="F621" s="32"/>
      <c r="G621" s="32"/>
      <c r="H621" s="32"/>
    </row>
    <row r="622" spans="2:8" hidden="1">
      <c r="B622" s="32"/>
      <c r="C622" s="32"/>
      <c r="D622" s="32"/>
      <c r="E622" s="32"/>
      <c r="F622" s="32"/>
      <c r="G622" s="32"/>
      <c r="H622" s="32"/>
    </row>
    <row r="623" spans="2:8" hidden="1">
      <c r="B623" s="32"/>
      <c r="C623" s="32"/>
      <c r="D623" s="32"/>
      <c r="E623" s="32"/>
      <c r="F623" s="32"/>
      <c r="G623" s="32"/>
      <c r="H623" s="32"/>
    </row>
    <row r="624" spans="2:8" hidden="1">
      <c r="B624" s="32"/>
      <c r="C624" s="32"/>
      <c r="D624" s="32"/>
      <c r="E624" s="32"/>
      <c r="F624" s="32"/>
      <c r="G624" s="32"/>
      <c r="H624" s="32"/>
    </row>
    <row r="625" spans="2:8" hidden="1">
      <c r="B625" s="32"/>
      <c r="C625" s="32"/>
      <c r="D625" s="32"/>
      <c r="E625" s="32"/>
      <c r="F625" s="32"/>
      <c r="G625" s="32"/>
      <c r="H625" s="32"/>
    </row>
    <row r="626" spans="2:8" hidden="1">
      <c r="B626" s="32"/>
      <c r="C626" s="32"/>
      <c r="D626" s="32"/>
      <c r="E626" s="32"/>
      <c r="F626" s="32"/>
      <c r="G626" s="32"/>
      <c r="H626" s="32"/>
    </row>
    <row r="627" spans="2:8" hidden="1">
      <c r="B627" s="32"/>
      <c r="C627" s="32"/>
      <c r="D627" s="32"/>
      <c r="E627" s="32"/>
      <c r="F627" s="32"/>
      <c r="G627" s="32"/>
      <c r="H627" s="32"/>
    </row>
    <row r="628" spans="2:8" hidden="1">
      <c r="B628" s="32"/>
      <c r="C628" s="32"/>
      <c r="D628" s="32"/>
      <c r="E628" s="32"/>
      <c r="F628" s="32"/>
      <c r="G628" s="32"/>
      <c r="H628" s="32"/>
    </row>
    <row r="629" spans="2:8" hidden="1">
      <c r="B629" s="32"/>
      <c r="C629" s="32"/>
      <c r="D629" s="32"/>
      <c r="E629" s="32"/>
      <c r="F629" s="32"/>
      <c r="G629" s="32"/>
      <c r="H629" s="32"/>
    </row>
    <row r="630" spans="2:8" hidden="1">
      <c r="B630" s="32"/>
      <c r="C630" s="32"/>
      <c r="D630" s="32"/>
      <c r="E630" s="32"/>
      <c r="F630" s="32"/>
      <c r="G630" s="32"/>
      <c r="H630" s="32"/>
    </row>
    <row r="631" spans="2:8" hidden="1">
      <c r="B631" s="32"/>
      <c r="C631" s="32"/>
      <c r="D631" s="32"/>
      <c r="E631" s="32"/>
      <c r="F631" s="32"/>
      <c r="G631" s="32"/>
      <c r="H631" s="32"/>
    </row>
    <row r="632" spans="2:8" hidden="1">
      <c r="B632" s="32"/>
      <c r="C632" s="32"/>
      <c r="D632" s="32"/>
      <c r="E632" s="32"/>
      <c r="F632" s="32"/>
      <c r="G632" s="32"/>
      <c r="H632" s="32"/>
    </row>
    <row r="633" spans="2:8" hidden="1">
      <c r="B633" s="32"/>
      <c r="C633" s="32"/>
      <c r="D633" s="32"/>
      <c r="E633" s="32"/>
      <c r="F633" s="32"/>
      <c r="G633" s="32"/>
      <c r="H633" s="32"/>
    </row>
    <row r="634" spans="2:8" hidden="1">
      <c r="B634" s="32"/>
      <c r="C634" s="32"/>
      <c r="D634" s="32"/>
      <c r="E634" s="32"/>
      <c r="F634" s="32"/>
      <c r="G634" s="32"/>
      <c r="H634" s="32"/>
    </row>
    <row r="635" spans="2:8" hidden="1">
      <c r="B635" s="32"/>
      <c r="C635" s="32"/>
      <c r="D635" s="32"/>
      <c r="E635" s="32"/>
      <c r="F635" s="32"/>
      <c r="G635" s="32"/>
      <c r="H635" s="32"/>
    </row>
    <row r="636" spans="2:8" hidden="1">
      <c r="B636" s="32"/>
      <c r="C636" s="32"/>
      <c r="D636" s="32"/>
      <c r="E636" s="32"/>
      <c r="F636" s="32"/>
      <c r="G636" s="32"/>
      <c r="H636" s="32"/>
    </row>
    <row r="637" spans="2:8" hidden="1">
      <c r="B637" s="32"/>
      <c r="C637" s="32"/>
      <c r="D637" s="32"/>
      <c r="E637" s="32"/>
      <c r="F637" s="32"/>
      <c r="G637" s="32"/>
      <c r="H637" s="32"/>
    </row>
    <row r="638" spans="2:8" hidden="1">
      <c r="B638" s="32"/>
      <c r="C638" s="32"/>
      <c r="D638" s="32"/>
      <c r="E638" s="32"/>
      <c r="F638" s="32"/>
      <c r="G638" s="32"/>
      <c r="H638" s="32"/>
    </row>
    <row r="639" spans="2:8" hidden="1">
      <c r="B639" s="32"/>
      <c r="C639" s="32"/>
      <c r="D639" s="32"/>
      <c r="E639" s="32"/>
      <c r="F639" s="32"/>
      <c r="G639" s="32"/>
      <c r="H639" s="32"/>
    </row>
    <row r="640" spans="2:8" hidden="1">
      <c r="B640" s="32"/>
      <c r="C640" s="32"/>
      <c r="D640" s="32"/>
      <c r="E640" s="32"/>
      <c r="F640" s="32"/>
      <c r="G640" s="32"/>
      <c r="H640" s="32"/>
    </row>
    <row r="641" spans="2:8" hidden="1">
      <c r="B641" s="32"/>
      <c r="C641" s="32"/>
      <c r="D641" s="32"/>
      <c r="E641" s="32"/>
      <c r="F641" s="32"/>
      <c r="G641" s="32"/>
      <c r="H641" s="32"/>
    </row>
    <row r="642" spans="2:8" hidden="1">
      <c r="B642" s="32"/>
      <c r="C642" s="32"/>
      <c r="D642" s="32"/>
      <c r="E642" s="32"/>
      <c r="F642" s="32"/>
      <c r="G642" s="32"/>
      <c r="H642" s="32"/>
    </row>
    <row r="643" spans="2:8" hidden="1">
      <c r="B643" s="32"/>
      <c r="C643" s="32"/>
      <c r="D643" s="32"/>
      <c r="E643" s="32"/>
      <c r="F643" s="32"/>
      <c r="G643" s="32"/>
      <c r="H643" s="32"/>
    </row>
    <row r="644" spans="2:8" hidden="1">
      <c r="B644" s="32"/>
      <c r="C644" s="32"/>
      <c r="D644" s="32"/>
      <c r="E644" s="32"/>
      <c r="F644" s="32"/>
      <c r="G644" s="32"/>
      <c r="H644" s="32"/>
    </row>
    <row r="645" spans="2:8" hidden="1">
      <c r="B645" s="32"/>
      <c r="C645" s="32"/>
      <c r="D645" s="32"/>
      <c r="E645" s="32"/>
      <c r="F645" s="32"/>
      <c r="G645" s="32"/>
      <c r="H645" s="32"/>
    </row>
    <row r="646" spans="2:8" hidden="1">
      <c r="B646" s="32"/>
      <c r="C646" s="32"/>
      <c r="D646" s="32"/>
      <c r="E646" s="32"/>
      <c r="F646" s="32"/>
      <c r="G646" s="32"/>
      <c r="H646" s="32"/>
    </row>
    <row r="647" spans="2:8" hidden="1">
      <c r="B647" s="32"/>
      <c r="C647" s="32"/>
      <c r="D647" s="32"/>
      <c r="E647" s="32"/>
      <c r="F647" s="32"/>
      <c r="G647" s="32"/>
      <c r="H647" s="32"/>
    </row>
    <row r="648" spans="2:8" hidden="1">
      <c r="B648" s="32"/>
      <c r="C648" s="32"/>
      <c r="D648" s="32"/>
      <c r="E648" s="32"/>
      <c r="F648" s="32"/>
      <c r="G648" s="32"/>
      <c r="H648" s="32"/>
    </row>
    <row r="649" spans="2:8" hidden="1">
      <c r="B649" s="32"/>
      <c r="C649" s="32"/>
      <c r="D649" s="32"/>
      <c r="E649" s="32"/>
      <c r="F649" s="32"/>
      <c r="G649" s="32"/>
      <c r="H649" s="32"/>
    </row>
    <row r="650" spans="2:8" hidden="1">
      <c r="B650" s="32"/>
      <c r="C650" s="32"/>
      <c r="D650" s="32"/>
      <c r="E650" s="32"/>
      <c r="F650" s="32"/>
      <c r="G650" s="32"/>
      <c r="H650" s="32"/>
    </row>
    <row r="651" spans="2:8" hidden="1">
      <c r="B651" s="32"/>
      <c r="C651" s="32"/>
      <c r="D651" s="32"/>
      <c r="E651" s="32"/>
      <c r="F651" s="32"/>
      <c r="G651" s="32"/>
      <c r="H651" s="32"/>
    </row>
    <row r="652" spans="2:8" hidden="1">
      <c r="B652" s="32"/>
      <c r="C652" s="32"/>
      <c r="D652" s="32"/>
      <c r="E652" s="32"/>
      <c r="F652" s="32"/>
      <c r="G652" s="32"/>
      <c r="H652" s="32"/>
    </row>
    <row r="653" spans="2:8" hidden="1">
      <c r="B653" s="32"/>
      <c r="C653" s="32"/>
      <c r="D653" s="32"/>
      <c r="E653" s="32"/>
      <c r="F653" s="32"/>
      <c r="G653" s="32"/>
      <c r="H653" s="32"/>
    </row>
    <row r="654" spans="2:8" hidden="1">
      <c r="B654" s="32"/>
      <c r="C654" s="32"/>
      <c r="D654" s="32"/>
      <c r="E654" s="32"/>
      <c r="F654" s="32"/>
      <c r="G654" s="32"/>
      <c r="H654" s="32"/>
    </row>
    <row r="655" spans="2:8" hidden="1">
      <c r="B655" s="32"/>
      <c r="C655" s="32"/>
      <c r="D655" s="32"/>
      <c r="E655" s="32"/>
      <c r="F655" s="32"/>
      <c r="G655" s="32"/>
      <c r="H655" s="32"/>
    </row>
    <row r="656" spans="2:8" hidden="1">
      <c r="B656" s="32"/>
      <c r="C656" s="32"/>
      <c r="D656" s="32"/>
      <c r="E656" s="32"/>
      <c r="F656" s="32"/>
      <c r="G656" s="32"/>
      <c r="H656" s="32"/>
    </row>
    <row r="657" spans="2:8" hidden="1">
      <c r="B657" s="32"/>
      <c r="C657" s="32"/>
      <c r="D657" s="32"/>
      <c r="E657" s="32"/>
      <c r="F657" s="32"/>
      <c r="G657" s="32"/>
      <c r="H657" s="32"/>
    </row>
    <row r="658" spans="2:8" hidden="1">
      <c r="B658" s="32"/>
      <c r="C658" s="32"/>
      <c r="D658" s="32"/>
      <c r="E658" s="32"/>
      <c r="F658" s="32"/>
      <c r="G658" s="32"/>
      <c r="H658" s="32"/>
    </row>
    <row r="659" spans="2:8" hidden="1">
      <c r="B659" s="32"/>
      <c r="C659" s="32"/>
      <c r="D659" s="32"/>
      <c r="E659" s="32"/>
      <c r="F659" s="32"/>
      <c r="G659" s="32"/>
      <c r="H659" s="32"/>
    </row>
    <row r="660" spans="2:8" hidden="1">
      <c r="B660" s="32"/>
      <c r="C660" s="32"/>
      <c r="D660" s="32"/>
      <c r="E660" s="32"/>
      <c r="F660" s="32"/>
      <c r="G660" s="32"/>
      <c r="H660" s="32"/>
    </row>
    <row r="661" spans="2:8" hidden="1">
      <c r="B661" s="32"/>
      <c r="C661" s="32"/>
      <c r="D661" s="32"/>
      <c r="E661" s="32"/>
      <c r="F661" s="32"/>
      <c r="G661" s="32"/>
      <c r="H661" s="32"/>
    </row>
    <row r="662" spans="2:8" hidden="1">
      <c r="B662" s="32"/>
      <c r="C662" s="32"/>
      <c r="D662" s="32"/>
      <c r="E662" s="32"/>
      <c r="F662" s="32"/>
      <c r="G662" s="32"/>
      <c r="H662" s="32"/>
    </row>
    <row r="663" spans="2:8" hidden="1">
      <c r="B663" s="32"/>
      <c r="C663" s="32"/>
      <c r="D663" s="32"/>
      <c r="E663" s="32"/>
      <c r="F663" s="32"/>
      <c r="G663" s="32"/>
      <c r="H663" s="32"/>
    </row>
    <row r="664" spans="2:8" hidden="1">
      <c r="B664" s="32"/>
      <c r="C664" s="32"/>
      <c r="D664" s="32"/>
      <c r="E664" s="32"/>
      <c r="F664" s="32"/>
      <c r="G664" s="32"/>
      <c r="H664" s="32"/>
    </row>
    <row r="665" spans="2:8" hidden="1">
      <c r="B665" s="32"/>
      <c r="C665" s="32"/>
      <c r="D665" s="32"/>
      <c r="E665" s="32"/>
      <c r="F665" s="32"/>
      <c r="G665" s="32"/>
      <c r="H665" s="32"/>
    </row>
    <row r="666" spans="2:8" hidden="1">
      <c r="B666" s="32"/>
      <c r="C666" s="32"/>
      <c r="D666" s="32"/>
      <c r="E666" s="32"/>
      <c r="F666" s="32"/>
      <c r="G666" s="32"/>
      <c r="H666" s="32"/>
    </row>
    <row r="667" spans="2:8" hidden="1">
      <c r="B667" s="32"/>
      <c r="C667" s="32"/>
      <c r="D667" s="32"/>
      <c r="E667" s="32"/>
      <c r="F667" s="32"/>
      <c r="G667" s="32"/>
      <c r="H667" s="32"/>
    </row>
    <row r="668" spans="2:8" hidden="1">
      <c r="B668" s="32"/>
      <c r="C668" s="32"/>
      <c r="D668" s="32"/>
      <c r="E668" s="32"/>
      <c r="F668" s="32"/>
      <c r="G668" s="32"/>
      <c r="H668" s="32"/>
    </row>
    <row r="669" spans="2:8" hidden="1">
      <c r="B669" s="32"/>
      <c r="C669" s="32"/>
      <c r="D669" s="32"/>
      <c r="E669" s="32"/>
      <c r="F669" s="32"/>
      <c r="G669" s="32"/>
      <c r="H669" s="32"/>
    </row>
    <row r="670" spans="2:8" hidden="1">
      <c r="B670" s="32"/>
      <c r="C670" s="32"/>
      <c r="D670" s="32"/>
      <c r="E670" s="32"/>
      <c r="F670" s="32"/>
      <c r="G670" s="32"/>
      <c r="H670" s="32"/>
    </row>
    <row r="671" spans="2:8" hidden="1">
      <c r="B671" s="32"/>
      <c r="C671" s="32"/>
      <c r="D671" s="32"/>
      <c r="E671" s="32"/>
      <c r="F671" s="32"/>
      <c r="G671" s="32"/>
      <c r="H671" s="32"/>
    </row>
    <row r="672" spans="2:8" hidden="1">
      <c r="B672" s="32"/>
      <c r="C672" s="32"/>
      <c r="D672" s="32"/>
      <c r="E672" s="32"/>
      <c r="F672" s="32"/>
      <c r="G672" s="32"/>
      <c r="H672" s="32"/>
    </row>
    <row r="673" spans="2:8" hidden="1">
      <c r="B673" s="32"/>
      <c r="C673" s="32"/>
      <c r="D673" s="32"/>
      <c r="E673" s="32"/>
      <c r="F673" s="32"/>
      <c r="G673" s="32"/>
      <c r="H673" s="32"/>
    </row>
    <row r="674" spans="2:8" hidden="1">
      <c r="B674" s="32"/>
      <c r="C674" s="32"/>
      <c r="D674" s="32"/>
      <c r="E674" s="32"/>
      <c r="F674" s="32"/>
      <c r="G674" s="32"/>
      <c r="H674" s="32"/>
    </row>
    <row r="675" spans="2:8" hidden="1">
      <c r="B675" s="32"/>
      <c r="C675" s="32"/>
      <c r="D675" s="32"/>
      <c r="E675" s="32"/>
      <c r="F675" s="32"/>
      <c r="G675" s="32"/>
      <c r="H675" s="32"/>
    </row>
    <row r="676" spans="2:8" hidden="1">
      <c r="B676" s="32"/>
      <c r="C676" s="32"/>
      <c r="D676" s="32"/>
      <c r="E676" s="32"/>
      <c r="F676" s="32"/>
      <c r="G676" s="32"/>
      <c r="H676" s="32"/>
    </row>
    <row r="677" spans="2:8" hidden="1">
      <c r="B677" s="32"/>
      <c r="C677" s="32"/>
      <c r="D677" s="32"/>
      <c r="E677" s="32"/>
      <c r="F677" s="32"/>
      <c r="G677" s="32"/>
      <c r="H677" s="32"/>
    </row>
    <row r="678" spans="2:8" hidden="1">
      <c r="B678" s="32"/>
      <c r="C678" s="32"/>
      <c r="D678" s="32"/>
      <c r="E678" s="32"/>
      <c r="F678" s="32"/>
      <c r="G678" s="32"/>
      <c r="H678" s="32"/>
    </row>
    <row r="679" spans="2:8" hidden="1">
      <c r="B679" s="32"/>
      <c r="C679" s="32"/>
      <c r="D679" s="32"/>
      <c r="E679" s="32"/>
      <c r="F679" s="32"/>
      <c r="G679" s="32"/>
      <c r="H679" s="32"/>
    </row>
    <row r="680" spans="2:8" hidden="1">
      <c r="B680" s="32"/>
      <c r="C680" s="32"/>
      <c r="D680" s="32"/>
      <c r="E680" s="32"/>
      <c r="F680" s="32"/>
      <c r="G680" s="32"/>
      <c r="H680" s="32"/>
    </row>
    <row r="681" spans="2:8" hidden="1">
      <c r="B681" s="32"/>
      <c r="C681" s="32"/>
      <c r="D681" s="32"/>
      <c r="E681" s="32"/>
      <c r="F681" s="32"/>
      <c r="G681" s="32"/>
      <c r="H681" s="32"/>
    </row>
    <row r="682" spans="2:8" hidden="1">
      <c r="B682" s="32"/>
      <c r="C682" s="32"/>
      <c r="D682" s="32"/>
      <c r="E682" s="32"/>
      <c r="F682" s="32"/>
      <c r="G682" s="32"/>
      <c r="H682" s="32"/>
    </row>
    <row r="683" spans="2:8" hidden="1">
      <c r="B683" s="32"/>
      <c r="C683" s="32"/>
      <c r="D683" s="32"/>
      <c r="E683" s="32"/>
      <c r="F683" s="32"/>
      <c r="G683" s="32"/>
      <c r="H683" s="32"/>
    </row>
    <row r="684" spans="2:8" hidden="1">
      <c r="B684" s="32"/>
      <c r="C684" s="32"/>
      <c r="D684" s="32"/>
      <c r="E684" s="32"/>
      <c r="F684" s="32"/>
      <c r="G684" s="32"/>
      <c r="H684" s="32"/>
    </row>
    <row r="685" spans="2:8" hidden="1">
      <c r="B685" s="32"/>
      <c r="C685" s="32"/>
      <c r="D685" s="32"/>
      <c r="E685" s="32"/>
      <c r="F685" s="32"/>
      <c r="G685" s="32"/>
      <c r="H685" s="32"/>
    </row>
    <row r="686" spans="2:8" hidden="1">
      <c r="B686" s="32"/>
      <c r="C686" s="32"/>
      <c r="D686" s="32"/>
      <c r="E686" s="32"/>
      <c r="F686" s="32"/>
      <c r="G686" s="32"/>
      <c r="H686" s="32"/>
    </row>
    <row r="687" spans="2:8" hidden="1">
      <c r="B687" s="32"/>
      <c r="C687" s="32"/>
      <c r="D687" s="32"/>
      <c r="E687" s="32"/>
      <c r="F687" s="32"/>
      <c r="G687" s="32"/>
      <c r="H687" s="32"/>
    </row>
    <row r="688" spans="2:8" hidden="1">
      <c r="B688" s="32"/>
      <c r="C688" s="32"/>
      <c r="D688" s="32"/>
      <c r="E688" s="32"/>
      <c r="F688" s="32"/>
      <c r="G688" s="32"/>
      <c r="H688" s="32"/>
    </row>
    <row r="689" spans="2:8" hidden="1">
      <c r="B689" s="32"/>
      <c r="C689" s="32"/>
      <c r="D689" s="32"/>
      <c r="E689" s="32"/>
      <c r="F689" s="32"/>
      <c r="G689" s="32"/>
      <c r="H689" s="32"/>
    </row>
    <row r="690" spans="2:8" hidden="1">
      <c r="B690" s="32"/>
      <c r="C690" s="32"/>
      <c r="D690" s="32"/>
      <c r="E690" s="32"/>
      <c r="F690" s="32"/>
      <c r="G690" s="32"/>
      <c r="H690" s="32"/>
    </row>
    <row r="691" spans="2:8" hidden="1">
      <c r="B691" s="32"/>
      <c r="C691" s="32"/>
      <c r="D691" s="32"/>
      <c r="E691" s="32"/>
      <c r="F691" s="32"/>
      <c r="G691" s="32"/>
      <c r="H691" s="32"/>
    </row>
    <row r="692" spans="2:8" hidden="1">
      <c r="B692" s="32"/>
      <c r="C692" s="32"/>
      <c r="D692" s="32"/>
      <c r="E692" s="32"/>
      <c r="F692" s="32"/>
      <c r="G692" s="32"/>
      <c r="H692" s="32"/>
    </row>
    <row r="693" spans="2:8" hidden="1">
      <c r="B693" s="32"/>
      <c r="C693" s="32"/>
      <c r="D693" s="32"/>
      <c r="E693" s="32"/>
      <c r="F693" s="32"/>
      <c r="G693" s="32"/>
      <c r="H693" s="32"/>
    </row>
    <row r="694" spans="2:8" hidden="1">
      <c r="B694" s="32"/>
      <c r="C694" s="32"/>
      <c r="D694" s="32"/>
      <c r="E694" s="32"/>
      <c r="F694" s="32"/>
      <c r="G694" s="32"/>
      <c r="H694" s="32"/>
    </row>
    <row r="695" spans="2:8" hidden="1">
      <c r="B695" s="32"/>
      <c r="C695" s="32"/>
      <c r="D695" s="32"/>
      <c r="E695" s="32"/>
      <c r="F695" s="32"/>
      <c r="G695" s="32"/>
      <c r="H695" s="32"/>
    </row>
    <row r="696" spans="2:8" hidden="1">
      <c r="B696" s="32"/>
      <c r="C696" s="32"/>
      <c r="D696" s="32"/>
      <c r="E696" s="32"/>
      <c r="F696" s="32"/>
      <c r="G696" s="32"/>
      <c r="H696" s="32"/>
    </row>
    <row r="697" spans="2:8" hidden="1">
      <c r="B697" s="32"/>
      <c r="C697" s="32"/>
      <c r="D697" s="32"/>
      <c r="E697" s="32"/>
      <c r="F697" s="32"/>
      <c r="G697" s="32"/>
      <c r="H697" s="32"/>
    </row>
    <row r="698" spans="2:8" hidden="1">
      <c r="B698" s="32"/>
      <c r="C698" s="32"/>
      <c r="D698" s="32"/>
      <c r="E698" s="32"/>
      <c r="F698" s="32"/>
      <c r="G698" s="32"/>
      <c r="H698" s="32"/>
    </row>
    <row r="699" spans="2:8" hidden="1">
      <c r="B699" s="32"/>
      <c r="C699" s="32"/>
      <c r="D699" s="32"/>
      <c r="E699" s="32"/>
      <c r="F699" s="32"/>
      <c r="G699" s="32"/>
      <c r="H699" s="32"/>
    </row>
    <row r="700" spans="2:8" hidden="1">
      <c r="B700" s="32"/>
      <c r="C700" s="32"/>
      <c r="D700" s="32"/>
      <c r="E700" s="32"/>
      <c r="F700" s="32"/>
      <c r="G700" s="32"/>
      <c r="H700" s="32"/>
    </row>
    <row r="701" spans="2:8" hidden="1">
      <c r="B701" s="32"/>
      <c r="C701" s="32"/>
      <c r="D701" s="32"/>
      <c r="E701" s="32"/>
      <c r="F701" s="32"/>
      <c r="G701" s="32"/>
      <c r="H701" s="32"/>
    </row>
    <row r="702" spans="2:8" hidden="1">
      <c r="B702" s="32"/>
      <c r="C702" s="32"/>
      <c r="D702" s="32"/>
      <c r="E702" s="32"/>
      <c r="F702" s="32"/>
      <c r="G702" s="32"/>
      <c r="H702" s="32"/>
    </row>
    <row r="703" spans="2:8" hidden="1">
      <c r="B703" s="32"/>
      <c r="C703" s="32"/>
      <c r="D703" s="32"/>
      <c r="E703" s="32"/>
      <c r="F703" s="32"/>
      <c r="G703" s="32"/>
      <c r="H703" s="32"/>
    </row>
    <row r="704" spans="2:8" hidden="1">
      <c r="B704" s="32"/>
      <c r="C704" s="32"/>
      <c r="D704" s="32"/>
      <c r="E704" s="32"/>
      <c r="F704" s="32"/>
      <c r="G704" s="32"/>
      <c r="H704" s="32"/>
    </row>
    <row r="705" spans="2:8" hidden="1">
      <c r="B705" s="32"/>
      <c r="C705" s="32"/>
      <c r="D705" s="32"/>
      <c r="E705" s="32"/>
      <c r="F705" s="32"/>
      <c r="G705" s="32"/>
      <c r="H705" s="32"/>
    </row>
    <row r="706" spans="2:8" hidden="1">
      <c r="B706" s="32"/>
      <c r="C706" s="32"/>
      <c r="D706" s="32"/>
      <c r="E706" s="32"/>
      <c r="F706" s="32"/>
      <c r="G706" s="32"/>
      <c r="H706" s="32"/>
    </row>
    <row r="707" spans="2:8" hidden="1">
      <c r="B707" s="32"/>
      <c r="C707" s="32"/>
      <c r="D707" s="32"/>
      <c r="E707" s="32"/>
      <c r="F707" s="32"/>
      <c r="G707" s="32"/>
      <c r="H707" s="32"/>
    </row>
    <row r="708" spans="2:8" hidden="1">
      <c r="B708" s="32"/>
      <c r="C708" s="32"/>
      <c r="D708" s="32"/>
      <c r="E708" s="32"/>
      <c r="F708" s="32"/>
      <c r="G708" s="32"/>
      <c r="H708" s="32"/>
    </row>
    <row r="709" spans="2:8" hidden="1">
      <c r="B709" s="32"/>
      <c r="C709" s="32"/>
      <c r="D709" s="32"/>
      <c r="E709" s="32"/>
      <c r="F709" s="32"/>
      <c r="G709" s="32"/>
      <c r="H709" s="32"/>
    </row>
    <row r="710" spans="2:8" hidden="1">
      <c r="B710" s="32"/>
      <c r="C710" s="32"/>
      <c r="D710" s="32"/>
      <c r="E710" s="32"/>
      <c r="F710" s="32"/>
      <c r="G710" s="32"/>
      <c r="H710" s="32"/>
    </row>
    <row r="711" spans="2:8" hidden="1">
      <c r="B711" s="32"/>
      <c r="C711" s="32"/>
      <c r="D711" s="32"/>
      <c r="E711" s="32"/>
      <c r="F711" s="32"/>
      <c r="G711" s="32"/>
      <c r="H711" s="32"/>
    </row>
    <row r="712" spans="2:8" hidden="1">
      <c r="B712" s="32"/>
      <c r="C712" s="32"/>
      <c r="D712" s="32"/>
      <c r="E712" s="32"/>
      <c r="F712" s="32"/>
      <c r="G712" s="32"/>
      <c r="H712" s="32"/>
    </row>
    <row r="713" spans="2:8" hidden="1">
      <c r="B713" s="32"/>
      <c r="C713" s="32"/>
      <c r="D713" s="32"/>
      <c r="E713" s="32"/>
      <c r="F713" s="32"/>
      <c r="G713" s="32"/>
      <c r="H713" s="32"/>
    </row>
    <row r="714" spans="2:8" hidden="1">
      <c r="B714" s="32"/>
      <c r="C714" s="32"/>
      <c r="D714" s="32"/>
      <c r="E714" s="32"/>
      <c r="F714" s="32"/>
      <c r="G714" s="32"/>
      <c r="H714" s="32"/>
    </row>
    <row r="715" spans="2:8" hidden="1">
      <c r="B715" s="32"/>
      <c r="C715" s="32"/>
      <c r="D715" s="32"/>
      <c r="E715" s="32"/>
      <c r="F715" s="32"/>
      <c r="G715" s="32"/>
      <c r="H715" s="32"/>
    </row>
    <row r="716" spans="2:8" hidden="1">
      <c r="B716" s="32"/>
      <c r="C716" s="32"/>
      <c r="D716" s="32"/>
      <c r="E716" s="32"/>
      <c r="F716" s="32"/>
      <c r="G716" s="32"/>
      <c r="H716" s="32"/>
    </row>
    <row r="717" spans="2:8" hidden="1">
      <c r="B717" s="32"/>
      <c r="C717" s="32"/>
      <c r="D717" s="32"/>
      <c r="E717" s="32"/>
      <c r="F717" s="32"/>
      <c r="G717" s="32"/>
      <c r="H717" s="32"/>
    </row>
    <row r="718" spans="2:8" hidden="1">
      <c r="B718" s="32"/>
      <c r="C718" s="32"/>
      <c r="D718" s="32"/>
      <c r="E718" s="32"/>
      <c r="F718" s="32"/>
      <c r="G718" s="32"/>
      <c r="H718" s="32"/>
    </row>
    <row r="719" spans="2:8" hidden="1">
      <c r="B719" s="32"/>
      <c r="C719" s="32"/>
      <c r="D719" s="32"/>
      <c r="E719" s="32"/>
      <c r="F719" s="32"/>
      <c r="G719" s="32"/>
      <c r="H719" s="32"/>
    </row>
    <row r="720" spans="2:8" hidden="1">
      <c r="B720" s="32"/>
      <c r="C720" s="32"/>
      <c r="D720" s="32"/>
      <c r="E720" s="32"/>
      <c r="F720" s="32"/>
      <c r="G720" s="32"/>
      <c r="H720" s="32"/>
    </row>
    <row r="721" spans="2:8" hidden="1">
      <c r="B721" s="32"/>
      <c r="C721" s="32"/>
      <c r="D721" s="32"/>
      <c r="E721" s="32"/>
      <c r="F721" s="32"/>
      <c r="G721" s="32"/>
      <c r="H721" s="32"/>
    </row>
    <row r="722" spans="2:8" hidden="1">
      <c r="B722" s="32"/>
      <c r="C722" s="32"/>
      <c r="D722" s="32"/>
      <c r="E722" s="32"/>
      <c r="F722" s="32"/>
      <c r="G722" s="32"/>
      <c r="H722" s="32"/>
    </row>
    <row r="723" spans="2:8" hidden="1">
      <c r="B723" s="32"/>
      <c r="C723" s="32"/>
      <c r="D723" s="32"/>
      <c r="E723" s="32"/>
      <c r="F723" s="32"/>
      <c r="G723" s="32"/>
      <c r="H723" s="32"/>
    </row>
    <row r="724" spans="2:8" hidden="1">
      <c r="B724" s="32"/>
      <c r="C724" s="32"/>
      <c r="D724" s="32"/>
      <c r="E724" s="32"/>
      <c r="F724" s="32"/>
      <c r="G724" s="32"/>
      <c r="H724" s="32"/>
    </row>
    <row r="725" spans="2:8" hidden="1">
      <c r="B725" s="32"/>
      <c r="C725" s="32"/>
      <c r="D725" s="32"/>
      <c r="E725" s="32"/>
      <c r="F725" s="32"/>
      <c r="G725" s="32"/>
      <c r="H725" s="32"/>
    </row>
    <row r="726" spans="2:8" hidden="1">
      <c r="B726" s="32"/>
      <c r="C726" s="32"/>
      <c r="D726" s="32"/>
      <c r="E726" s="32"/>
      <c r="F726" s="32"/>
      <c r="G726" s="32"/>
      <c r="H726" s="32"/>
    </row>
    <row r="727" spans="2:8" hidden="1">
      <c r="B727" s="32"/>
      <c r="C727" s="32"/>
      <c r="D727" s="32"/>
      <c r="E727" s="32"/>
      <c r="F727" s="32"/>
      <c r="G727" s="32"/>
      <c r="H727" s="32"/>
    </row>
    <row r="728" spans="2:8" hidden="1">
      <c r="B728" s="32"/>
      <c r="C728" s="32"/>
      <c r="D728" s="32"/>
      <c r="E728" s="32"/>
      <c r="F728" s="32"/>
      <c r="G728" s="32"/>
      <c r="H728" s="32"/>
    </row>
    <row r="729" spans="2:8" hidden="1">
      <c r="B729" s="32"/>
      <c r="C729" s="32"/>
      <c r="D729" s="32"/>
      <c r="E729" s="32"/>
      <c r="F729" s="32"/>
      <c r="G729" s="32"/>
      <c r="H729" s="32"/>
    </row>
    <row r="730" spans="2:8" hidden="1">
      <c r="B730" s="32"/>
      <c r="C730" s="32"/>
      <c r="D730" s="32"/>
      <c r="E730" s="32"/>
      <c r="F730" s="32"/>
      <c r="G730" s="32"/>
      <c r="H730" s="32"/>
    </row>
    <row r="731" spans="2:8" hidden="1">
      <c r="B731" s="32"/>
      <c r="C731" s="32"/>
      <c r="D731" s="32"/>
      <c r="E731" s="32"/>
      <c r="F731" s="32"/>
      <c r="G731" s="32"/>
      <c r="H731" s="32"/>
    </row>
    <row r="732" spans="2:8" hidden="1">
      <c r="B732" s="32"/>
      <c r="C732" s="32"/>
      <c r="D732" s="32"/>
      <c r="E732" s="32"/>
      <c r="F732" s="32"/>
      <c r="G732" s="32"/>
      <c r="H732" s="32"/>
    </row>
    <row r="733" spans="2:8" hidden="1">
      <c r="B733" s="32"/>
      <c r="C733" s="32"/>
      <c r="D733" s="32"/>
      <c r="E733" s="32"/>
      <c r="F733" s="32"/>
      <c r="G733" s="32"/>
      <c r="H733" s="32"/>
    </row>
    <row r="734" spans="2:8" hidden="1">
      <c r="B734" s="32"/>
      <c r="C734" s="32"/>
      <c r="D734" s="32"/>
      <c r="E734" s="32"/>
      <c r="F734" s="32"/>
      <c r="G734" s="32"/>
      <c r="H734" s="32"/>
    </row>
    <row r="735" spans="2:8" hidden="1">
      <c r="B735" s="32"/>
      <c r="C735" s="32"/>
      <c r="D735" s="32"/>
      <c r="E735" s="32"/>
      <c r="F735" s="32"/>
      <c r="G735" s="32"/>
      <c r="H735" s="32"/>
    </row>
    <row r="736" spans="2:8" hidden="1">
      <c r="B736" s="32"/>
      <c r="C736" s="32"/>
      <c r="D736" s="32"/>
      <c r="E736" s="32"/>
      <c r="F736" s="32"/>
      <c r="G736" s="32"/>
      <c r="H736" s="32"/>
    </row>
    <row r="737" spans="2:8" hidden="1">
      <c r="B737" s="32"/>
      <c r="C737" s="32"/>
      <c r="D737" s="32"/>
      <c r="E737" s="32"/>
      <c r="F737" s="32"/>
      <c r="G737" s="32"/>
      <c r="H737" s="32"/>
    </row>
    <row r="738" spans="2:8" hidden="1">
      <c r="B738" s="32"/>
      <c r="C738" s="32"/>
      <c r="D738" s="32"/>
      <c r="E738" s="32"/>
      <c r="F738" s="32"/>
      <c r="G738" s="32"/>
      <c r="H738" s="32"/>
    </row>
    <row r="739" spans="2:8" hidden="1">
      <c r="B739" s="32"/>
      <c r="C739" s="32"/>
      <c r="D739" s="32"/>
      <c r="E739" s="32"/>
      <c r="F739" s="32"/>
      <c r="G739" s="32"/>
      <c r="H739" s="32"/>
    </row>
    <row r="740" spans="2:8" hidden="1">
      <c r="B740" s="32"/>
      <c r="C740" s="32"/>
      <c r="D740" s="32"/>
      <c r="E740" s="32"/>
      <c r="F740" s="32"/>
      <c r="G740" s="32"/>
      <c r="H740" s="32"/>
    </row>
    <row r="741" spans="2:8" hidden="1">
      <c r="B741" s="32"/>
      <c r="C741" s="32"/>
      <c r="D741" s="32"/>
      <c r="E741" s="32"/>
      <c r="F741" s="32"/>
      <c r="G741" s="32"/>
      <c r="H741" s="32"/>
    </row>
    <row r="742" spans="2:8" hidden="1">
      <c r="B742" s="32"/>
      <c r="C742" s="32"/>
      <c r="D742" s="32"/>
      <c r="E742" s="32"/>
      <c r="F742" s="32"/>
      <c r="G742" s="32"/>
      <c r="H742" s="32"/>
    </row>
    <row r="743" spans="2:8" hidden="1">
      <c r="B743" s="32"/>
      <c r="C743" s="32"/>
      <c r="D743" s="32"/>
      <c r="E743" s="32"/>
      <c r="F743" s="32"/>
      <c r="G743" s="32"/>
      <c r="H743" s="32"/>
    </row>
    <row r="744" spans="2:8" hidden="1">
      <c r="B744" s="32"/>
      <c r="C744" s="32"/>
      <c r="D744" s="32"/>
      <c r="E744" s="32"/>
      <c r="F744" s="32"/>
      <c r="G744" s="32"/>
      <c r="H744" s="32"/>
    </row>
    <row r="745" spans="2:8" hidden="1">
      <c r="B745" s="32"/>
      <c r="C745" s="32"/>
      <c r="D745" s="32"/>
      <c r="E745" s="32"/>
      <c r="F745" s="32"/>
      <c r="G745" s="32"/>
      <c r="H745" s="32"/>
    </row>
    <row r="746" spans="2:8" hidden="1">
      <c r="B746" s="32"/>
      <c r="C746" s="32"/>
      <c r="D746" s="32"/>
      <c r="E746" s="32"/>
      <c r="F746" s="32"/>
      <c r="G746" s="32"/>
      <c r="H746" s="32"/>
    </row>
    <row r="747" spans="2:8" hidden="1">
      <c r="B747" s="32"/>
      <c r="C747" s="32"/>
      <c r="D747" s="32"/>
      <c r="E747" s="32"/>
      <c r="F747" s="32"/>
      <c r="G747" s="32"/>
      <c r="H747" s="32"/>
    </row>
    <row r="748" spans="2:8" hidden="1">
      <c r="B748" s="32"/>
      <c r="C748" s="32"/>
      <c r="D748" s="32"/>
      <c r="E748" s="32"/>
      <c r="F748" s="32"/>
      <c r="G748" s="32"/>
      <c r="H748" s="32"/>
    </row>
    <row r="749" spans="2:8" hidden="1">
      <c r="B749" s="32"/>
      <c r="C749" s="32"/>
      <c r="D749" s="32"/>
      <c r="E749" s="32"/>
      <c r="F749" s="32"/>
      <c r="G749" s="32"/>
      <c r="H749" s="32"/>
    </row>
    <row r="750" spans="2:8" hidden="1">
      <c r="B750" s="32"/>
      <c r="C750" s="32"/>
      <c r="D750" s="32"/>
      <c r="E750" s="32"/>
      <c r="F750" s="32"/>
      <c r="G750" s="32"/>
      <c r="H750" s="32"/>
    </row>
    <row r="751" spans="2:8" hidden="1">
      <c r="B751" s="32"/>
      <c r="C751" s="32"/>
      <c r="D751" s="32"/>
      <c r="E751" s="32"/>
      <c r="F751" s="32"/>
      <c r="G751" s="32"/>
      <c r="H751" s="32"/>
    </row>
    <row r="752" spans="2:8" hidden="1">
      <c r="B752" s="32"/>
      <c r="C752" s="32"/>
      <c r="D752" s="32"/>
      <c r="E752" s="32"/>
      <c r="F752" s="32"/>
      <c r="G752" s="32"/>
      <c r="H752" s="32"/>
    </row>
    <row r="753" spans="2:8" hidden="1">
      <c r="B753" s="32"/>
      <c r="C753" s="32"/>
      <c r="D753" s="32"/>
      <c r="E753" s="32"/>
      <c r="F753" s="32"/>
      <c r="G753" s="32"/>
      <c r="H753" s="32"/>
    </row>
    <row r="754" spans="2:8" hidden="1">
      <c r="B754" s="32"/>
      <c r="C754" s="32"/>
      <c r="D754" s="32"/>
      <c r="E754" s="32"/>
      <c r="F754" s="32"/>
      <c r="G754" s="32"/>
      <c r="H754" s="32"/>
    </row>
    <row r="755" spans="2:8" hidden="1">
      <c r="B755" s="32"/>
      <c r="C755" s="32"/>
      <c r="D755" s="32"/>
      <c r="E755" s="32"/>
      <c r="F755" s="32"/>
      <c r="G755" s="32"/>
      <c r="H755" s="32"/>
    </row>
    <row r="756" spans="2:8" hidden="1">
      <c r="B756" s="32"/>
      <c r="C756" s="32"/>
      <c r="D756" s="32"/>
      <c r="E756" s="32"/>
      <c r="F756" s="32"/>
      <c r="G756" s="32"/>
      <c r="H756" s="32"/>
    </row>
    <row r="757" spans="2:8" hidden="1">
      <c r="B757" s="32"/>
      <c r="C757" s="32"/>
      <c r="D757" s="32"/>
      <c r="E757" s="32"/>
      <c r="F757" s="32"/>
      <c r="G757" s="32"/>
      <c r="H757" s="32"/>
    </row>
    <row r="758" spans="2:8" hidden="1">
      <c r="B758" s="32"/>
      <c r="C758" s="32"/>
      <c r="D758" s="32"/>
      <c r="E758" s="32"/>
      <c r="F758" s="32"/>
      <c r="G758" s="32"/>
      <c r="H758" s="32"/>
    </row>
    <row r="759" spans="2:8" hidden="1">
      <c r="B759" s="32"/>
      <c r="C759" s="32"/>
      <c r="D759" s="32"/>
      <c r="E759" s="32"/>
      <c r="F759" s="32"/>
      <c r="G759" s="32"/>
      <c r="H759" s="32"/>
    </row>
    <row r="760" spans="2:8" hidden="1">
      <c r="B760" s="32"/>
      <c r="C760" s="32"/>
      <c r="D760" s="32"/>
      <c r="E760" s="32"/>
      <c r="F760" s="32"/>
      <c r="G760" s="32"/>
      <c r="H760" s="32"/>
    </row>
    <row r="761" spans="2:8" hidden="1">
      <c r="B761" s="32"/>
      <c r="C761" s="32"/>
      <c r="D761" s="32"/>
      <c r="E761" s="32"/>
      <c r="F761" s="32"/>
      <c r="G761" s="32"/>
      <c r="H761" s="32"/>
    </row>
    <row r="762" spans="2:8" hidden="1">
      <c r="B762" s="32"/>
      <c r="C762" s="32"/>
      <c r="D762" s="32"/>
      <c r="E762" s="32"/>
      <c r="F762" s="32"/>
      <c r="G762" s="32"/>
      <c r="H762" s="32"/>
    </row>
    <row r="763" spans="2:8" hidden="1">
      <c r="B763" s="32"/>
      <c r="C763" s="32"/>
      <c r="D763" s="32"/>
      <c r="E763" s="32"/>
      <c r="F763" s="32"/>
      <c r="G763" s="32"/>
      <c r="H763" s="32"/>
    </row>
    <row r="764" spans="2:8" hidden="1">
      <c r="B764" s="32"/>
      <c r="C764" s="32"/>
      <c r="D764" s="32"/>
      <c r="E764" s="32"/>
      <c r="F764" s="32"/>
      <c r="G764" s="32"/>
      <c r="H764" s="32"/>
    </row>
    <row r="765" spans="2:8" hidden="1">
      <c r="B765" s="32"/>
      <c r="C765" s="32"/>
      <c r="D765" s="32"/>
      <c r="E765" s="32"/>
      <c r="F765" s="32"/>
      <c r="G765" s="32"/>
      <c r="H765" s="32"/>
    </row>
    <row r="766" spans="2:8" hidden="1">
      <c r="B766" s="32"/>
      <c r="C766" s="32"/>
      <c r="D766" s="32"/>
      <c r="E766" s="32"/>
      <c r="F766" s="32"/>
      <c r="G766" s="32"/>
      <c r="H766" s="32"/>
    </row>
    <row r="767" spans="2:8" hidden="1">
      <c r="B767" s="32"/>
      <c r="C767" s="32"/>
      <c r="D767" s="32"/>
      <c r="E767" s="32"/>
      <c r="F767" s="32"/>
      <c r="G767" s="32"/>
      <c r="H767" s="32"/>
    </row>
    <row r="768" spans="2:8" hidden="1">
      <c r="B768" s="32"/>
      <c r="C768" s="32"/>
      <c r="D768" s="32"/>
      <c r="E768" s="32"/>
      <c r="F768" s="32"/>
      <c r="G768" s="32"/>
      <c r="H768" s="32"/>
    </row>
    <row r="769" spans="2:8" hidden="1">
      <c r="B769" s="32"/>
      <c r="C769" s="32"/>
      <c r="D769" s="32"/>
      <c r="E769" s="32"/>
      <c r="F769" s="32"/>
      <c r="G769" s="32"/>
      <c r="H769" s="32"/>
    </row>
    <row r="770" spans="2:8" hidden="1">
      <c r="B770" s="32"/>
      <c r="C770" s="32"/>
      <c r="D770" s="32"/>
      <c r="E770" s="32"/>
      <c r="F770" s="32"/>
      <c r="G770" s="32"/>
      <c r="H770" s="32"/>
    </row>
    <row r="771" spans="2:8" hidden="1">
      <c r="B771" s="32"/>
      <c r="C771" s="32"/>
      <c r="D771" s="32"/>
      <c r="E771" s="32"/>
      <c r="F771" s="32"/>
      <c r="G771" s="32"/>
      <c r="H771" s="32"/>
    </row>
    <row r="772" spans="2:8" hidden="1">
      <c r="B772" s="32"/>
      <c r="C772" s="32"/>
      <c r="D772" s="32"/>
      <c r="E772" s="32"/>
      <c r="F772" s="32"/>
      <c r="G772" s="32"/>
      <c r="H772" s="32"/>
    </row>
    <row r="773" spans="2:8" hidden="1">
      <c r="B773" s="32"/>
      <c r="C773" s="32"/>
      <c r="D773" s="32"/>
      <c r="E773" s="32"/>
      <c r="F773" s="32"/>
      <c r="G773" s="32"/>
      <c r="H773" s="32"/>
    </row>
    <row r="774" spans="2:8" hidden="1">
      <c r="B774" s="32"/>
      <c r="C774" s="32"/>
      <c r="D774" s="32"/>
      <c r="E774" s="32"/>
      <c r="F774" s="32"/>
      <c r="G774" s="32"/>
      <c r="H774" s="32"/>
    </row>
    <row r="775" spans="2:8" hidden="1">
      <c r="B775" s="32"/>
      <c r="C775" s="32"/>
      <c r="D775" s="32"/>
      <c r="E775" s="32"/>
      <c r="F775" s="32"/>
      <c r="G775" s="32"/>
      <c r="H775" s="32"/>
    </row>
    <row r="776" spans="2:8" hidden="1">
      <c r="B776" s="32"/>
      <c r="C776" s="32"/>
      <c r="D776" s="32"/>
      <c r="E776" s="32"/>
      <c r="F776" s="32"/>
      <c r="G776" s="32"/>
      <c r="H776" s="32"/>
    </row>
    <row r="777" spans="2:8" hidden="1">
      <c r="B777" s="32"/>
      <c r="C777" s="32"/>
      <c r="D777" s="32"/>
      <c r="E777" s="32"/>
      <c r="F777" s="32"/>
      <c r="G777" s="32"/>
      <c r="H777" s="32"/>
    </row>
    <row r="778" spans="2:8" hidden="1">
      <c r="B778" s="32"/>
      <c r="C778" s="32"/>
      <c r="D778" s="32"/>
      <c r="E778" s="32"/>
      <c r="F778" s="32"/>
      <c r="G778" s="32"/>
      <c r="H778" s="32"/>
    </row>
    <row r="779" spans="2:8" hidden="1">
      <c r="B779" s="32"/>
      <c r="C779" s="32"/>
      <c r="D779" s="32"/>
      <c r="E779" s="32"/>
      <c r="F779" s="32"/>
      <c r="G779" s="32"/>
      <c r="H779" s="32"/>
    </row>
    <row r="780" spans="2:8" hidden="1">
      <c r="B780" s="32"/>
      <c r="C780" s="32"/>
      <c r="D780" s="32"/>
      <c r="E780" s="32"/>
      <c r="F780" s="32"/>
      <c r="G780" s="32"/>
      <c r="H780" s="32"/>
    </row>
    <row r="781" spans="2:8" hidden="1">
      <c r="B781" s="32"/>
      <c r="C781" s="32"/>
      <c r="D781" s="32"/>
      <c r="E781" s="32"/>
      <c r="F781" s="32"/>
      <c r="G781" s="32"/>
      <c r="H781" s="32"/>
    </row>
    <row r="782" spans="2:8" hidden="1">
      <c r="B782" s="32"/>
      <c r="C782" s="32"/>
      <c r="D782" s="32"/>
      <c r="E782" s="32"/>
      <c r="F782" s="32"/>
      <c r="G782" s="32"/>
      <c r="H782" s="32"/>
    </row>
    <row r="783" spans="2:8" hidden="1">
      <c r="B783" s="32"/>
      <c r="C783" s="32"/>
      <c r="D783" s="32"/>
      <c r="E783" s="32"/>
      <c r="F783" s="32"/>
      <c r="G783" s="32"/>
      <c r="H783" s="32"/>
    </row>
    <row r="784" spans="2:8" hidden="1">
      <c r="B784" s="32"/>
      <c r="C784" s="32"/>
      <c r="D784" s="32"/>
      <c r="E784" s="32"/>
      <c r="F784" s="32"/>
      <c r="G784" s="32"/>
      <c r="H784" s="32"/>
    </row>
    <row r="785" spans="2:8" hidden="1">
      <c r="B785" s="32"/>
      <c r="C785" s="32"/>
      <c r="D785" s="32"/>
      <c r="E785" s="32"/>
      <c r="F785" s="32"/>
      <c r="G785" s="32"/>
      <c r="H785" s="32"/>
    </row>
    <row r="786" spans="2:8" hidden="1">
      <c r="B786" s="32"/>
      <c r="C786" s="32"/>
      <c r="D786" s="32"/>
      <c r="E786" s="32"/>
      <c r="F786" s="32"/>
      <c r="G786" s="32"/>
      <c r="H786" s="32"/>
    </row>
    <row r="787" spans="2:8" hidden="1">
      <c r="B787" s="32"/>
      <c r="C787" s="32"/>
      <c r="D787" s="32"/>
      <c r="E787" s="32"/>
      <c r="F787" s="32"/>
      <c r="G787" s="32"/>
      <c r="H787" s="32"/>
    </row>
    <row r="788" spans="2:8" hidden="1">
      <c r="B788" s="32"/>
      <c r="C788" s="32"/>
      <c r="D788" s="32"/>
      <c r="E788" s="32"/>
      <c r="F788" s="32"/>
      <c r="G788" s="32"/>
      <c r="H788" s="32"/>
    </row>
    <row r="789" spans="2:8" hidden="1">
      <c r="B789" s="32"/>
      <c r="C789" s="32"/>
      <c r="D789" s="32"/>
      <c r="E789" s="32"/>
      <c r="F789" s="32"/>
      <c r="G789" s="32"/>
      <c r="H789" s="32"/>
    </row>
    <row r="790" spans="2:8" hidden="1">
      <c r="B790" s="32"/>
      <c r="C790" s="32"/>
      <c r="D790" s="32"/>
      <c r="E790" s="32"/>
      <c r="F790" s="32"/>
      <c r="G790" s="32"/>
      <c r="H790" s="32"/>
    </row>
    <row r="791" spans="2:8" hidden="1">
      <c r="B791" s="32"/>
      <c r="C791" s="32"/>
      <c r="D791" s="32"/>
      <c r="E791" s="32"/>
      <c r="F791" s="32"/>
      <c r="G791" s="32"/>
      <c r="H791" s="32"/>
    </row>
    <row r="792" spans="2:8" hidden="1">
      <c r="B792" s="32"/>
      <c r="C792" s="32"/>
      <c r="D792" s="32"/>
      <c r="E792" s="32"/>
      <c r="F792" s="32"/>
      <c r="G792" s="32"/>
      <c r="H792" s="32"/>
    </row>
    <row r="793" spans="2:8" hidden="1">
      <c r="B793" s="32"/>
      <c r="C793" s="32"/>
      <c r="D793" s="32"/>
      <c r="E793" s="32"/>
      <c r="F793" s="32"/>
      <c r="G793" s="32"/>
      <c r="H793" s="32"/>
    </row>
    <row r="794" spans="2:8" hidden="1">
      <c r="B794" s="32"/>
      <c r="C794" s="32"/>
      <c r="D794" s="32"/>
      <c r="E794" s="32"/>
      <c r="F794" s="32"/>
      <c r="G794" s="32"/>
      <c r="H794" s="32"/>
    </row>
    <row r="795" spans="2:8" hidden="1">
      <c r="B795" s="32"/>
      <c r="C795" s="32"/>
      <c r="D795" s="32"/>
      <c r="E795" s="32"/>
      <c r="F795" s="32"/>
      <c r="G795" s="32"/>
      <c r="H795" s="32"/>
    </row>
    <row r="796" spans="2:8" hidden="1">
      <c r="B796" s="32"/>
      <c r="C796" s="32"/>
      <c r="D796" s="32"/>
      <c r="E796" s="32"/>
      <c r="F796" s="32"/>
      <c r="G796" s="32"/>
      <c r="H796" s="32"/>
    </row>
    <row r="797" spans="2:8" hidden="1">
      <c r="B797" s="32"/>
      <c r="C797" s="32"/>
      <c r="D797" s="32"/>
      <c r="E797" s="32"/>
      <c r="F797" s="32"/>
      <c r="G797" s="32"/>
      <c r="H797" s="32"/>
    </row>
    <row r="798" spans="2:8" hidden="1">
      <c r="B798" s="32"/>
      <c r="C798" s="32"/>
      <c r="D798" s="32"/>
      <c r="E798" s="32"/>
      <c r="F798" s="32"/>
      <c r="G798" s="32"/>
      <c r="H798" s="32"/>
    </row>
    <row r="799" spans="2:8" hidden="1">
      <c r="B799" s="32"/>
      <c r="C799" s="32"/>
      <c r="D799" s="32"/>
      <c r="E799" s="32"/>
      <c r="F799" s="32"/>
      <c r="G799" s="32"/>
      <c r="H799" s="32"/>
    </row>
    <row r="800" spans="2:8" hidden="1">
      <c r="B800" s="32"/>
      <c r="C800" s="32"/>
      <c r="D800" s="32"/>
      <c r="E800" s="32"/>
      <c r="F800" s="32"/>
      <c r="G800" s="32"/>
      <c r="H800" s="32"/>
    </row>
    <row r="801" spans="2:8" hidden="1">
      <c r="B801" s="32"/>
      <c r="C801" s="32"/>
      <c r="D801" s="32"/>
      <c r="E801" s="32"/>
      <c r="F801" s="32"/>
      <c r="G801" s="32"/>
      <c r="H801" s="32"/>
    </row>
    <row r="802" spans="2:8" hidden="1">
      <c r="B802" s="32"/>
      <c r="C802" s="32"/>
      <c r="D802" s="32"/>
      <c r="E802" s="32"/>
      <c r="F802" s="32"/>
      <c r="G802" s="32"/>
      <c r="H802" s="32"/>
    </row>
    <row r="803" spans="2:8" hidden="1">
      <c r="B803" s="32"/>
      <c r="C803" s="32"/>
      <c r="D803" s="32"/>
      <c r="E803" s="32"/>
      <c r="F803" s="32"/>
      <c r="G803" s="32"/>
      <c r="H803" s="32"/>
    </row>
    <row r="804" spans="2:8" hidden="1">
      <c r="B804" s="32"/>
      <c r="C804" s="32"/>
      <c r="D804" s="32"/>
      <c r="E804" s="32"/>
      <c r="F804" s="32"/>
      <c r="G804" s="32"/>
      <c r="H804" s="32"/>
    </row>
    <row r="805" spans="2:8" hidden="1">
      <c r="B805" s="32"/>
      <c r="C805" s="32"/>
      <c r="D805" s="32"/>
      <c r="E805" s="32"/>
      <c r="F805" s="32"/>
      <c r="G805" s="32"/>
      <c r="H805" s="32"/>
    </row>
    <row r="806" spans="2:8" hidden="1">
      <c r="B806" s="32"/>
      <c r="C806" s="32"/>
      <c r="D806" s="32"/>
      <c r="E806" s="32"/>
      <c r="F806" s="32"/>
      <c r="G806" s="32"/>
      <c r="H806" s="32"/>
    </row>
    <row r="807" spans="2:8" hidden="1">
      <c r="B807" s="32"/>
      <c r="C807" s="32"/>
      <c r="D807" s="32"/>
      <c r="E807" s="32"/>
      <c r="F807" s="32"/>
      <c r="G807" s="32"/>
      <c r="H807" s="32"/>
    </row>
    <row r="808" spans="2:8" hidden="1">
      <c r="B808" s="32"/>
      <c r="C808" s="32"/>
      <c r="D808" s="32"/>
      <c r="E808" s="32"/>
      <c r="F808" s="32"/>
      <c r="G808" s="32"/>
      <c r="H808" s="32"/>
    </row>
    <row r="809" spans="2:8" hidden="1">
      <c r="B809" s="32"/>
      <c r="C809" s="32"/>
      <c r="D809" s="32"/>
      <c r="E809" s="32"/>
      <c r="F809" s="32"/>
      <c r="G809" s="32"/>
      <c r="H809" s="32"/>
    </row>
    <row r="810" spans="2:8" hidden="1">
      <c r="B810" s="32"/>
      <c r="C810" s="32"/>
      <c r="D810" s="32"/>
      <c r="E810" s="32"/>
      <c r="F810" s="32"/>
      <c r="G810" s="32"/>
      <c r="H810" s="32"/>
    </row>
    <row r="811" spans="2:8" hidden="1">
      <c r="B811" s="32"/>
      <c r="C811" s="32"/>
      <c r="D811" s="32"/>
      <c r="E811" s="32"/>
      <c r="F811" s="32"/>
      <c r="G811" s="32"/>
      <c r="H811" s="32"/>
    </row>
    <row r="812" spans="2:8" hidden="1">
      <c r="B812" s="32"/>
      <c r="C812" s="32"/>
      <c r="D812" s="32"/>
      <c r="E812" s="32"/>
      <c r="F812" s="32"/>
      <c r="G812" s="32"/>
      <c r="H812" s="32"/>
    </row>
    <row r="813" spans="2:8" hidden="1">
      <c r="B813" s="32"/>
      <c r="C813" s="32"/>
      <c r="D813" s="32"/>
      <c r="E813" s="32"/>
      <c r="F813" s="32"/>
      <c r="G813" s="32"/>
      <c r="H813" s="32"/>
    </row>
    <row r="814" spans="2:8" hidden="1">
      <c r="B814" s="32"/>
      <c r="C814" s="32"/>
      <c r="D814" s="32"/>
      <c r="E814" s="32"/>
      <c r="F814" s="32"/>
      <c r="G814" s="32"/>
      <c r="H814" s="32"/>
    </row>
    <row r="815" spans="2:8" hidden="1">
      <c r="B815" s="32"/>
      <c r="C815" s="32"/>
      <c r="D815" s="32"/>
      <c r="E815" s="32"/>
      <c r="F815" s="32"/>
      <c r="G815" s="32"/>
      <c r="H815" s="32"/>
    </row>
    <row r="816" spans="2:8" hidden="1">
      <c r="B816" s="32"/>
      <c r="C816" s="32"/>
      <c r="D816" s="32"/>
      <c r="E816" s="32"/>
      <c r="F816" s="32"/>
      <c r="G816" s="32"/>
      <c r="H816" s="32"/>
    </row>
    <row r="817" spans="2:8" hidden="1">
      <c r="B817" s="32"/>
      <c r="C817" s="32"/>
      <c r="D817" s="32"/>
      <c r="E817" s="32"/>
      <c r="F817" s="32"/>
      <c r="G817" s="32"/>
      <c r="H817" s="32"/>
    </row>
    <row r="818" spans="2:8" hidden="1">
      <c r="B818" s="32"/>
      <c r="C818" s="32"/>
      <c r="D818" s="32"/>
      <c r="E818" s="32"/>
      <c r="F818" s="32"/>
      <c r="G818" s="32"/>
      <c r="H818" s="32"/>
    </row>
    <row r="819" spans="2:8" hidden="1">
      <c r="B819" s="32"/>
      <c r="C819" s="32"/>
      <c r="D819" s="32"/>
      <c r="E819" s="32"/>
      <c r="F819" s="32"/>
      <c r="G819" s="32"/>
      <c r="H819" s="32"/>
    </row>
    <row r="820" spans="2:8" hidden="1">
      <c r="B820" s="32"/>
      <c r="C820" s="32"/>
      <c r="D820" s="32"/>
      <c r="E820" s="32"/>
      <c r="F820" s="32"/>
      <c r="G820" s="32"/>
      <c r="H820" s="32"/>
    </row>
    <row r="821" spans="2:8" hidden="1">
      <c r="B821" s="32"/>
      <c r="C821" s="32"/>
      <c r="D821" s="32"/>
      <c r="E821" s="32"/>
      <c r="F821" s="32"/>
      <c r="G821" s="32"/>
      <c r="H821" s="32"/>
    </row>
    <row r="822" spans="2:8" hidden="1">
      <c r="B822" s="32"/>
      <c r="C822" s="32"/>
      <c r="D822" s="32"/>
      <c r="E822" s="32"/>
      <c r="F822" s="32"/>
      <c r="G822" s="32"/>
      <c r="H822" s="32"/>
    </row>
    <row r="823" spans="2:8" hidden="1">
      <c r="B823" s="32"/>
      <c r="C823" s="32"/>
      <c r="D823" s="32"/>
      <c r="E823" s="32"/>
      <c r="F823" s="32"/>
      <c r="G823" s="32"/>
      <c r="H823" s="32"/>
    </row>
    <row r="824" spans="2:8" hidden="1">
      <c r="B824" s="32"/>
      <c r="C824" s="32"/>
      <c r="D824" s="32"/>
      <c r="E824" s="32"/>
      <c r="F824" s="32"/>
      <c r="G824" s="32"/>
      <c r="H824" s="32"/>
    </row>
    <row r="825" spans="2:8" hidden="1">
      <c r="B825" s="32"/>
      <c r="C825" s="32"/>
      <c r="D825" s="32"/>
      <c r="E825" s="32"/>
      <c r="F825" s="32"/>
      <c r="G825" s="32"/>
      <c r="H825" s="32"/>
    </row>
    <row r="826" spans="2:8" hidden="1">
      <c r="B826" s="32"/>
      <c r="C826" s="32"/>
      <c r="D826" s="32"/>
      <c r="E826" s="32"/>
      <c r="F826" s="32"/>
      <c r="G826" s="32"/>
      <c r="H826" s="32"/>
    </row>
    <row r="827" spans="2:8" hidden="1">
      <c r="B827" s="32"/>
      <c r="C827" s="32"/>
      <c r="D827" s="32"/>
      <c r="E827" s="32"/>
      <c r="F827" s="32"/>
      <c r="G827" s="32"/>
      <c r="H827" s="32"/>
    </row>
    <row r="828" spans="2:8" hidden="1">
      <c r="B828" s="32"/>
      <c r="C828" s="32"/>
      <c r="D828" s="32"/>
      <c r="E828" s="32"/>
      <c r="F828" s="32"/>
      <c r="G828" s="32"/>
      <c r="H828" s="32"/>
    </row>
    <row r="829" spans="2:8" hidden="1">
      <c r="B829" s="32"/>
      <c r="C829" s="32"/>
      <c r="D829" s="32"/>
      <c r="E829" s="32"/>
      <c r="F829" s="32"/>
      <c r="G829" s="32"/>
      <c r="H829" s="32"/>
    </row>
    <row r="830" spans="2:8" hidden="1">
      <c r="B830" s="32"/>
      <c r="C830" s="32"/>
      <c r="D830" s="32"/>
      <c r="E830" s="32"/>
      <c r="F830" s="32"/>
      <c r="G830" s="32"/>
      <c r="H830" s="32"/>
    </row>
    <row r="831" spans="2:8" hidden="1">
      <c r="B831" s="32"/>
      <c r="C831" s="32"/>
      <c r="D831" s="32"/>
      <c r="E831" s="32"/>
      <c r="F831" s="32"/>
      <c r="G831" s="32"/>
      <c r="H831" s="32"/>
    </row>
    <row r="832" spans="2:8" hidden="1">
      <c r="B832" s="32"/>
      <c r="C832" s="32"/>
      <c r="D832" s="32"/>
      <c r="E832" s="32"/>
      <c r="F832" s="32"/>
      <c r="G832" s="32"/>
      <c r="H832" s="32"/>
    </row>
    <row r="833" spans="2:8" hidden="1">
      <c r="B833" s="32"/>
      <c r="C833" s="32"/>
      <c r="D833" s="32"/>
      <c r="E833" s="32"/>
      <c r="F833" s="32"/>
      <c r="G833" s="32"/>
      <c r="H833" s="32"/>
    </row>
    <row r="834" spans="2:8" hidden="1">
      <c r="B834" s="32"/>
      <c r="C834" s="32"/>
      <c r="D834" s="32"/>
      <c r="E834" s="32"/>
      <c r="F834" s="32"/>
      <c r="G834" s="32"/>
      <c r="H834" s="32"/>
    </row>
    <row r="835" spans="2:8" hidden="1">
      <c r="B835" s="32"/>
      <c r="C835" s="32"/>
      <c r="D835" s="32"/>
      <c r="E835" s="32"/>
      <c r="F835" s="32"/>
      <c r="G835" s="32"/>
      <c r="H835" s="32"/>
    </row>
    <row r="836" spans="2:8" hidden="1">
      <c r="B836" s="32"/>
      <c r="C836" s="32"/>
      <c r="D836" s="32"/>
      <c r="E836" s="32"/>
      <c r="F836" s="32"/>
      <c r="G836" s="32"/>
      <c r="H836" s="32"/>
    </row>
    <row r="837" spans="2:8" hidden="1">
      <c r="B837" s="32"/>
      <c r="C837" s="32"/>
      <c r="D837" s="32"/>
      <c r="E837" s="32"/>
      <c r="F837" s="32"/>
      <c r="G837" s="32"/>
      <c r="H837" s="32"/>
    </row>
    <row r="838" spans="2:8" hidden="1">
      <c r="B838" s="32"/>
      <c r="C838" s="32"/>
      <c r="D838" s="32"/>
      <c r="E838" s="32"/>
      <c r="F838" s="32"/>
      <c r="G838" s="32"/>
      <c r="H838" s="32"/>
    </row>
    <row r="839" spans="2:8" hidden="1">
      <c r="B839" s="32"/>
      <c r="C839" s="32"/>
      <c r="D839" s="32"/>
      <c r="E839" s="32"/>
      <c r="F839" s="32"/>
      <c r="G839" s="32"/>
      <c r="H839" s="32"/>
    </row>
    <row r="840" spans="2:8" hidden="1">
      <c r="B840" s="32"/>
      <c r="C840" s="32"/>
      <c r="D840" s="32"/>
      <c r="E840" s="32"/>
      <c r="F840" s="32"/>
      <c r="G840" s="32"/>
      <c r="H840" s="32"/>
    </row>
    <row r="841" spans="2:8" hidden="1">
      <c r="B841" s="32"/>
      <c r="C841" s="32"/>
      <c r="D841" s="32"/>
      <c r="E841" s="32"/>
      <c r="F841" s="32"/>
      <c r="G841" s="32"/>
      <c r="H841" s="32"/>
    </row>
    <row r="842" spans="2:8" hidden="1">
      <c r="B842" s="32"/>
      <c r="C842" s="32"/>
      <c r="D842" s="32"/>
      <c r="E842" s="32"/>
      <c r="F842" s="32"/>
      <c r="G842" s="32"/>
      <c r="H842" s="32"/>
    </row>
    <row r="843" spans="2:8" hidden="1">
      <c r="B843" s="32"/>
      <c r="C843" s="32"/>
      <c r="D843" s="32"/>
      <c r="E843" s="32"/>
      <c r="F843" s="32"/>
      <c r="G843" s="32"/>
      <c r="H843" s="32"/>
    </row>
    <row r="844" spans="2:8" hidden="1">
      <c r="B844" s="32"/>
      <c r="C844" s="32"/>
      <c r="D844" s="32"/>
      <c r="E844" s="32"/>
      <c r="F844" s="32"/>
      <c r="G844" s="32"/>
      <c r="H844" s="32"/>
    </row>
    <row r="845" spans="2:8" hidden="1">
      <c r="B845" s="32"/>
      <c r="C845" s="32"/>
      <c r="D845" s="32"/>
      <c r="E845" s="32"/>
      <c r="F845" s="32"/>
      <c r="G845" s="32"/>
      <c r="H845" s="32"/>
    </row>
    <row r="846" spans="2:8" hidden="1">
      <c r="B846" s="32"/>
      <c r="C846" s="32"/>
      <c r="D846" s="32"/>
      <c r="E846" s="32"/>
      <c r="F846" s="32"/>
      <c r="G846" s="32"/>
      <c r="H846" s="32"/>
    </row>
    <row r="847" spans="2:8" hidden="1">
      <c r="B847" s="32"/>
      <c r="C847" s="32"/>
      <c r="D847" s="32"/>
      <c r="E847" s="32"/>
      <c r="F847" s="32"/>
      <c r="G847" s="32"/>
      <c r="H847" s="32"/>
    </row>
    <row r="848" spans="2:8" hidden="1">
      <c r="B848" s="32"/>
      <c r="C848" s="32"/>
      <c r="D848" s="32"/>
      <c r="E848" s="32"/>
      <c r="F848" s="32"/>
      <c r="G848" s="32"/>
      <c r="H848" s="32"/>
    </row>
    <row r="849" spans="2:8" hidden="1">
      <c r="B849" s="32"/>
      <c r="C849" s="32"/>
      <c r="D849" s="32"/>
      <c r="E849" s="32"/>
      <c r="F849" s="32"/>
      <c r="G849" s="32"/>
      <c r="H849" s="32"/>
    </row>
    <row r="850" spans="2:8" hidden="1">
      <c r="B850" s="32"/>
      <c r="C850" s="32"/>
      <c r="D850" s="32"/>
      <c r="E850" s="32"/>
      <c r="F850" s="32"/>
      <c r="G850" s="32"/>
      <c r="H850" s="32"/>
    </row>
    <row r="851" spans="2:8" hidden="1">
      <c r="B851" s="32"/>
      <c r="C851" s="32"/>
      <c r="D851" s="32"/>
      <c r="E851" s="32"/>
      <c r="F851" s="32"/>
      <c r="G851" s="32"/>
      <c r="H851" s="32"/>
    </row>
    <row r="852" spans="2:8" hidden="1">
      <c r="B852" s="32"/>
      <c r="C852" s="32"/>
      <c r="D852" s="32"/>
      <c r="E852" s="32"/>
      <c r="F852" s="32"/>
      <c r="G852" s="32"/>
      <c r="H852" s="32"/>
    </row>
    <row r="853" spans="2:8" hidden="1">
      <c r="B853" s="32"/>
      <c r="C853" s="32"/>
      <c r="D853" s="32"/>
      <c r="E853" s="32"/>
      <c r="F853" s="32"/>
      <c r="G853" s="32"/>
      <c r="H853" s="32"/>
    </row>
    <row r="854" spans="2:8" hidden="1">
      <c r="B854" s="32"/>
      <c r="C854" s="32"/>
      <c r="D854" s="32"/>
      <c r="E854" s="32"/>
      <c r="F854" s="32"/>
      <c r="G854" s="32"/>
      <c r="H854" s="32"/>
    </row>
    <row r="855" spans="2:8" hidden="1">
      <c r="B855" s="32"/>
      <c r="C855" s="32"/>
      <c r="D855" s="32"/>
      <c r="E855" s="32"/>
      <c r="F855" s="32"/>
      <c r="G855" s="32"/>
      <c r="H855" s="32"/>
    </row>
    <row r="856" spans="2:8" hidden="1">
      <c r="B856" s="32"/>
      <c r="C856" s="32"/>
      <c r="D856" s="32"/>
      <c r="E856" s="32"/>
      <c r="F856" s="32"/>
      <c r="G856" s="32"/>
      <c r="H856" s="32"/>
    </row>
    <row r="857" spans="2:8" hidden="1">
      <c r="B857" s="32"/>
      <c r="C857" s="32"/>
      <c r="D857" s="32"/>
      <c r="E857" s="32"/>
      <c r="F857" s="32"/>
      <c r="G857" s="32"/>
      <c r="H857" s="32"/>
    </row>
    <row r="858" spans="2:8" hidden="1">
      <c r="B858" s="32"/>
      <c r="C858" s="32"/>
      <c r="D858" s="32"/>
      <c r="E858" s="32"/>
      <c r="F858" s="32"/>
      <c r="G858" s="32"/>
      <c r="H858" s="32"/>
    </row>
    <row r="859" spans="2:8" hidden="1">
      <c r="B859" s="32"/>
      <c r="C859" s="32"/>
      <c r="D859" s="32"/>
      <c r="E859" s="32"/>
      <c r="F859" s="32"/>
      <c r="G859" s="32"/>
      <c r="H859" s="32"/>
    </row>
    <row r="860" spans="2:8" hidden="1">
      <c r="B860" s="32"/>
      <c r="C860" s="32"/>
      <c r="D860" s="32"/>
      <c r="E860" s="32"/>
      <c r="F860" s="32"/>
      <c r="G860" s="32"/>
      <c r="H860" s="32"/>
    </row>
    <row r="861" spans="2:8" hidden="1">
      <c r="B861" s="32"/>
      <c r="C861" s="32"/>
      <c r="D861" s="32"/>
      <c r="E861" s="32"/>
      <c r="F861" s="32"/>
      <c r="G861" s="32"/>
      <c r="H861" s="32"/>
    </row>
    <row r="862" spans="2:8" hidden="1">
      <c r="B862" s="32"/>
      <c r="C862" s="32"/>
      <c r="D862" s="32"/>
      <c r="E862" s="32"/>
      <c r="F862" s="32"/>
      <c r="G862" s="32"/>
      <c r="H862" s="32"/>
    </row>
    <row r="863" spans="2:8" hidden="1">
      <c r="B863" s="32"/>
      <c r="C863" s="32"/>
      <c r="D863" s="32"/>
      <c r="E863" s="32"/>
      <c r="F863" s="32"/>
      <c r="G863" s="32"/>
      <c r="H863" s="32"/>
    </row>
    <row r="864" spans="2:8" hidden="1">
      <c r="B864" s="32"/>
      <c r="C864" s="32"/>
      <c r="D864" s="32"/>
      <c r="E864" s="32"/>
      <c r="F864" s="32"/>
      <c r="G864" s="32"/>
      <c r="H864" s="32"/>
    </row>
    <row r="865" spans="2:8" hidden="1">
      <c r="B865" s="32"/>
      <c r="C865" s="32"/>
      <c r="D865" s="32"/>
      <c r="E865" s="32"/>
      <c r="F865" s="32"/>
      <c r="G865" s="32"/>
      <c r="H865" s="32"/>
    </row>
    <row r="866" spans="2:8" hidden="1">
      <c r="B866" s="32"/>
      <c r="C866" s="32"/>
      <c r="D866" s="32"/>
      <c r="E866" s="32"/>
      <c r="F866" s="32"/>
      <c r="G866" s="32"/>
      <c r="H866" s="32"/>
    </row>
    <row r="867" spans="2:8" hidden="1">
      <c r="B867" s="32"/>
      <c r="C867" s="32"/>
      <c r="D867" s="32"/>
      <c r="E867" s="32"/>
      <c r="F867" s="32"/>
      <c r="G867" s="32"/>
      <c r="H867" s="32"/>
    </row>
    <row r="868" spans="2:8" hidden="1">
      <c r="B868" s="32"/>
      <c r="C868" s="32"/>
      <c r="D868" s="32"/>
      <c r="E868" s="32"/>
      <c r="F868" s="32"/>
      <c r="G868" s="32"/>
      <c r="H868" s="32"/>
    </row>
    <row r="869" spans="2:8" hidden="1">
      <c r="B869" s="32"/>
      <c r="C869" s="32"/>
      <c r="D869" s="32"/>
      <c r="E869" s="32"/>
      <c r="F869" s="32"/>
      <c r="G869" s="32"/>
      <c r="H869" s="32"/>
    </row>
    <row r="870" spans="2:8" hidden="1">
      <c r="B870" s="32"/>
      <c r="C870" s="32"/>
      <c r="D870" s="32"/>
      <c r="E870" s="32"/>
      <c r="F870" s="32"/>
      <c r="G870" s="32"/>
      <c r="H870" s="32"/>
    </row>
    <row r="871" spans="2:8" hidden="1">
      <c r="B871" s="32"/>
      <c r="C871" s="32"/>
      <c r="D871" s="32"/>
      <c r="E871" s="32"/>
      <c r="F871" s="32"/>
      <c r="G871" s="32"/>
      <c r="H871" s="32"/>
    </row>
    <row r="872" spans="2:8" hidden="1">
      <c r="B872" s="32"/>
      <c r="C872" s="32"/>
      <c r="D872" s="32"/>
      <c r="E872" s="32"/>
      <c r="F872" s="32"/>
      <c r="G872" s="32"/>
      <c r="H872" s="32"/>
    </row>
    <row r="873" spans="2:8" hidden="1">
      <c r="B873" s="32"/>
      <c r="C873" s="32"/>
      <c r="D873" s="32"/>
      <c r="E873" s="32"/>
      <c r="F873" s="32"/>
      <c r="G873" s="32"/>
      <c r="H873" s="32"/>
    </row>
    <row r="874" spans="2:8" hidden="1">
      <c r="B874" s="32"/>
      <c r="C874" s="32"/>
      <c r="D874" s="32"/>
      <c r="E874" s="32"/>
      <c r="F874" s="32"/>
      <c r="G874" s="32"/>
      <c r="H874" s="32"/>
    </row>
    <row r="875" spans="2:8" hidden="1">
      <c r="B875" s="32"/>
      <c r="C875" s="32"/>
      <c r="D875" s="32"/>
      <c r="E875" s="32"/>
      <c r="F875" s="32"/>
      <c r="G875" s="32"/>
      <c r="H875" s="32"/>
    </row>
    <row r="876" spans="2:8" hidden="1">
      <c r="B876" s="32"/>
      <c r="C876" s="32"/>
      <c r="D876" s="32"/>
      <c r="E876" s="32"/>
      <c r="F876" s="32"/>
      <c r="G876" s="32"/>
      <c r="H876" s="32"/>
    </row>
    <row r="877" spans="2:8" hidden="1">
      <c r="B877" s="32"/>
      <c r="C877" s="32"/>
      <c r="D877" s="32"/>
      <c r="E877" s="32"/>
      <c r="F877" s="32"/>
      <c r="G877" s="32"/>
      <c r="H877" s="32"/>
    </row>
    <row r="878" spans="2:8" hidden="1">
      <c r="B878" s="32"/>
      <c r="C878" s="32"/>
      <c r="D878" s="32"/>
      <c r="E878" s="32"/>
      <c r="F878" s="32"/>
      <c r="G878" s="32"/>
      <c r="H878" s="32"/>
    </row>
    <row r="879" spans="2:8" hidden="1">
      <c r="B879" s="32"/>
      <c r="C879" s="32"/>
      <c r="D879" s="32"/>
      <c r="E879" s="32"/>
      <c r="F879" s="32"/>
      <c r="G879" s="32"/>
      <c r="H879" s="32"/>
    </row>
    <row r="880" spans="2:8" hidden="1">
      <c r="B880" s="32"/>
      <c r="C880" s="32"/>
      <c r="D880" s="32"/>
      <c r="E880" s="32"/>
      <c r="F880" s="32"/>
      <c r="G880" s="32"/>
      <c r="H880" s="32"/>
    </row>
    <row r="881" spans="2:8" hidden="1">
      <c r="B881" s="32"/>
      <c r="C881" s="32"/>
      <c r="D881" s="32"/>
      <c r="E881" s="32"/>
      <c r="F881" s="32"/>
      <c r="G881" s="32"/>
      <c r="H881" s="32"/>
    </row>
    <row r="882" spans="2:8" hidden="1">
      <c r="B882" s="32"/>
      <c r="C882" s="32"/>
      <c r="D882" s="32"/>
      <c r="E882" s="32"/>
      <c r="F882" s="32"/>
      <c r="G882" s="32"/>
      <c r="H882" s="32"/>
    </row>
    <row r="883" spans="2:8" hidden="1">
      <c r="B883" s="32"/>
      <c r="C883" s="32"/>
      <c r="D883" s="32"/>
      <c r="E883" s="32"/>
      <c r="F883" s="32"/>
      <c r="G883" s="32"/>
      <c r="H883" s="32"/>
    </row>
    <row r="884" spans="2:8" hidden="1">
      <c r="B884" s="32"/>
      <c r="C884" s="32"/>
      <c r="D884" s="32"/>
      <c r="E884" s="32"/>
      <c r="F884" s="32"/>
      <c r="G884" s="32"/>
      <c r="H884" s="32"/>
    </row>
    <row r="885" spans="2:8" hidden="1">
      <c r="B885" s="32"/>
      <c r="C885" s="32"/>
      <c r="D885" s="32"/>
      <c r="E885" s="32"/>
      <c r="F885" s="32"/>
      <c r="G885" s="32"/>
      <c r="H885" s="32"/>
    </row>
    <row r="886" spans="2:8" hidden="1">
      <c r="B886" s="32"/>
      <c r="C886" s="32"/>
      <c r="D886" s="32"/>
      <c r="E886" s="32"/>
      <c r="F886" s="32"/>
      <c r="G886" s="32"/>
      <c r="H886" s="32"/>
    </row>
    <row r="887" spans="2:8" hidden="1">
      <c r="B887" s="32"/>
      <c r="C887" s="32"/>
      <c r="D887" s="32"/>
      <c r="E887" s="32"/>
      <c r="F887" s="32"/>
      <c r="G887" s="32"/>
      <c r="H887" s="32"/>
    </row>
    <row r="888" spans="2:8" hidden="1">
      <c r="B888" s="32"/>
      <c r="C888" s="32"/>
      <c r="D888" s="32"/>
      <c r="E888" s="32"/>
      <c r="F888" s="32"/>
      <c r="G888" s="32"/>
      <c r="H888" s="32"/>
    </row>
    <row r="889" spans="2:8" hidden="1">
      <c r="B889" s="32"/>
      <c r="C889" s="32"/>
      <c r="D889" s="32"/>
      <c r="E889" s="32"/>
      <c r="F889" s="32"/>
      <c r="G889" s="32"/>
      <c r="H889" s="32"/>
    </row>
    <row r="890" spans="2:8" hidden="1">
      <c r="B890" s="32"/>
      <c r="C890" s="32"/>
      <c r="D890" s="32"/>
      <c r="E890" s="32"/>
      <c r="F890" s="32"/>
      <c r="G890" s="32"/>
      <c r="H890" s="32"/>
    </row>
    <row r="891" spans="2:8" hidden="1">
      <c r="B891" s="32"/>
      <c r="C891" s="32"/>
      <c r="D891" s="32"/>
      <c r="E891" s="32"/>
      <c r="F891" s="32"/>
      <c r="G891" s="32"/>
      <c r="H891" s="32"/>
    </row>
    <row r="892" spans="2:8" hidden="1">
      <c r="B892" s="32"/>
      <c r="C892" s="32"/>
      <c r="D892" s="32"/>
      <c r="E892" s="32"/>
      <c r="F892" s="32"/>
      <c r="G892" s="32"/>
      <c r="H892" s="32"/>
    </row>
    <row r="893" spans="2:8" hidden="1">
      <c r="B893" s="32"/>
      <c r="C893" s="32"/>
      <c r="D893" s="32"/>
      <c r="E893" s="32"/>
      <c r="F893" s="32"/>
      <c r="G893" s="32"/>
      <c r="H893" s="32"/>
    </row>
    <row r="894" spans="2:8" hidden="1">
      <c r="B894" s="32"/>
      <c r="C894" s="32"/>
      <c r="D894" s="32"/>
      <c r="E894" s="32"/>
      <c r="F894" s="32"/>
      <c r="G894" s="32"/>
      <c r="H894" s="32"/>
    </row>
    <row r="895" spans="2:8" hidden="1">
      <c r="B895" s="32"/>
      <c r="C895" s="32"/>
      <c r="D895" s="32"/>
      <c r="E895" s="32"/>
      <c r="F895" s="32"/>
      <c r="G895" s="32"/>
      <c r="H895" s="32"/>
    </row>
    <row r="896" spans="2:8" hidden="1">
      <c r="B896" s="32"/>
      <c r="C896" s="32"/>
      <c r="D896" s="32"/>
      <c r="E896" s="32"/>
      <c r="F896" s="32"/>
      <c r="G896" s="32"/>
      <c r="H896" s="32"/>
    </row>
    <row r="897" spans="2:8" hidden="1">
      <c r="B897" s="32"/>
      <c r="C897" s="32"/>
      <c r="D897" s="32"/>
      <c r="E897" s="32"/>
      <c r="F897" s="32"/>
      <c r="G897" s="32"/>
      <c r="H897" s="32"/>
    </row>
    <row r="898" spans="2:8" hidden="1">
      <c r="B898" s="32"/>
      <c r="C898" s="32"/>
      <c r="D898" s="32"/>
      <c r="E898" s="32"/>
      <c r="F898" s="32"/>
      <c r="G898" s="32"/>
      <c r="H898" s="32"/>
    </row>
    <row r="899" spans="2:8" hidden="1">
      <c r="B899" s="32"/>
      <c r="C899" s="32"/>
      <c r="D899" s="32"/>
      <c r="E899" s="32"/>
      <c r="F899" s="32"/>
      <c r="G899" s="32"/>
      <c r="H899" s="32"/>
    </row>
    <row r="900" spans="2:8" hidden="1">
      <c r="B900" s="32"/>
      <c r="C900" s="32"/>
      <c r="D900" s="32"/>
      <c r="E900" s="32"/>
      <c r="F900" s="32"/>
      <c r="G900" s="32"/>
      <c r="H900" s="32"/>
    </row>
    <row r="901" spans="2:8" hidden="1">
      <c r="B901" s="32"/>
      <c r="C901" s="32"/>
      <c r="D901" s="32"/>
      <c r="E901" s="32"/>
      <c r="F901" s="32"/>
      <c r="G901" s="32"/>
      <c r="H901" s="32"/>
    </row>
    <row r="902" spans="2:8" hidden="1">
      <c r="B902" s="32"/>
      <c r="C902" s="32"/>
      <c r="D902" s="32"/>
      <c r="E902" s="32"/>
      <c r="F902" s="32"/>
      <c r="G902" s="32"/>
      <c r="H902" s="32"/>
    </row>
    <row r="903" spans="2:8" hidden="1">
      <c r="B903" s="32"/>
      <c r="C903" s="32"/>
      <c r="D903" s="32"/>
      <c r="E903" s="32"/>
      <c r="F903" s="32"/>
      <c r="G903" s="32"/>
      <c r="H903" s="32"/>
    </row>
    <row r="904" spans="2:8" hidden="1">
      <c r="B904" s="32"/>
      <c r="C904" s="32"/>
      <c r="D904" s="32"/>
      <c r="E904" s="32"/>
      <c r="F904" s="32"/>
      <c r="G904" s="32"/>
      <c r="H904" s="32"/>
    </row>
    <row r="905" spans="2:8" hidden="1">
      <c r="B905" s="32"/>
      <c r="C905" s="32"/>
      <c r="D905" s="32"/>
      <c r="E905" s="32"/>
      <c r="F905" s="32"/>
      <c r="G905" s="32"/>
      <c r="H905" s="32"/>
    </row>
    <row r="906" spans="2:8" hidden="1">
      <c r="B906" s="32"/>
      <c r="C906" s="32"/>
      <c r="D906" s="32"/>
      <c r="E906" s="32"/>
      <c r="F906" s="32"/>
      <c r="G906" s="32"/>
      <c r="H906" s="32"/>
    </row>
    <row r="907" spans="2:8" hidden="1">
      <c r="B907" s="32"/>
      <c r="C907" s="32"/>
      <c r="D907" s="32"/>
      <c r="E907" s="32"/>
      <c r="F907" s="32"/>
      <c r="G907" s="32"/>
      <c r="H907" s="32"/>
    </row>
    <row r="908" spans="2:8" hidden="1">
      <c r="B908" s="32"/>
      <c r="C908" s="32"/>
      <c r="D908" s="32"/>
      <c r="E908" s="32"/>
      <c r="F908" s="32"/>
      <c r="G908" s="32"/>
      <c r="H908" s="32"/>
    </row>
    <row r="909" spans="2:8" hidden="1">
      <c r="B909" s="32"/>
      <c r="C909" s="32"/>
      <c r="D909" s="32"/>
      <c r="E909" s="32"/>
      <c r="F909" s="32"/>
      <c r="G909" s="32"/>
      <c r="H909" s="32"/>
    </row>
    <row r="910" spans="2:8" hidden="1">
      <c r="B910" s="32"/>
      <c r="C910" s="32"/>
      <c r="D910" s="32"/>
      <c r="E910" s="32"/>
      <c r="F910" s="32"/>
      <c r="G910" s="32"/>
      <c r="H910" s="32"/>
    </row>
    <row r="911" spans="2:8" hidden="1">
      <c r="B911" s="32"/>
      <c r="C911" s="32"/>
      <c r="D911" s="32"/>
      <c r="E911" s="32"/>
      <c r="F911" s="32"/>
      <c r="G911" s="32"/>
      <c r="H911" s="32"/>
    </row>
    <row r="912" spans="2:8" hidden="1">
      <c r="B912" s="32"/>
      <c r="C912" s="32"/>
      <c r="D912" s="32"/>
      <c r="E912" s="32"/>
      <c r="F912" s="32"/>
      <c r="G912" s="32"/>
      <c r="H912" s="32"/>
    </row>
    <row r="913" spans="2:8" hidden="1">
      <c r="B913" s="32"/>
      <c r="C913" s="32"/>
      <c r="D913" s="32"/>
      <c r="E913" s="32"/>
      <c r="F913" s="32"/>
      <c r="G913" s="32"/>
      <c r="H913" s="32"/>
    </row>
    <row r="914" spans="2:8" hidden="1">
      <c r="B914" s="32"/>
      <c r="C914" s="32"/>
      <c r="D914" s="32"/>
      <c r="E914" s="32"/>
      <c r="F914" s="32"/>
      <c r="G914" s="32"/>
      <c r="H914" s="32"/>
    </row>
    <row r="915" spans="2:8" hidden="1">
      <c r="B915" s="32"/>
      <c r="C915" s="32"/>
      <c r="D915" s="32"/>
      <c r="E915" s="32"/>
      <c r="F915" s="32"/>
      <c r="G915" s="32"/>
      <c r="H915" s="32"/>
    </row>
    <row r="916" spans="2:8" hidden="1">
      <c r="B916" s="32"/>
      <c r="C916" s="32"/>
      <c r="D916" s="32"/>
      <c r="E916" s="32"/>
      <c r="F916" s="32"/>
      <c r="G916" s="32"/>
      <c r="H916" s="32"/>
    </row>
    <row r="917" spans="2:8" hidden="1">
      <c r="B917" s="32"/>
      <c r="C917" s="32"/>
      <c r="D917" s="32"/>
      <c r="E917" s="32"/>
      <c r="F917" s="32"/>
      <c r="G917" s="32"/>
      <c r="H917" s="32"/>
    </row>
    <row r="918" spans="2:8" hidden="1">
      <c r="B918" s="32"/>
      <c r="C918" s="32"/>
      <c r="D918" s="32"/>
      <c r="E918" s="32"/>
      <c r="F918" s="32"/>
      <c r="G918" s="32"/>
      <c r="H918" s="32"/>
    </row>
    <row r="919" spans="2:8" hidden="1">
      <c r="B919" s="32"/>
      <c r="C919" s="32"/>
      <c r="D919" s="32"/>
      <c r="E919" s="32"/>
      <c r="F919" s="32"/>
      <c r="G919" s="32"/>
      <c r="H919" s="32"/>
    </row>
    <row r="920" spans="2:8" hidden="1">
      <c r="B920" s="32"/>
      <c r="C920" s="32"/>
      <c r="D920" s="32"/>
      <c r="E920" s="32"/>
      <c r="F920" s="32"/>
      <c r="G920" s="32"/>
      <c r="H920" s="32"/>
    </row>
    <row r="921" spans="2:8" hidden="1">
      <c r="B921" s="32"/>
      <c r="C921" s="32"/>
      <c r="D921" s="32"/>
      <c r="E921" s="32"/>
      <c r="F921" s="32"/>
      <c r="G921" s="32"/>
      <c r="H921" s="32"/>
    </row>
    <row r="922" spans="2:8" hidden="1">
      <c r="B922" s="32"/>
      <c r="C922" s="32"/>
      <c r="D922" s="32"/>
      <c r="E922" s="32"/>
      <c r="F922" s="32"/>
      <c r="G922" s="32"/>
      <c r="H922" s="32"/>
    </row>
    <row r="923" spans="2:8" hidden="1">
      <c r="B923" s="32"/>
      <c r="C923" s="32"/>
      <c r="D923" s="32"/>
      <c r="E923" s="32"/>
      <c r="F923" s="32"/>
      <c r="G923" s="32"/>
      <c r="H923" s="32"/>
    </row>
    <row r="924" spans="2:8" hidden="1">
      <c r="B924" s="32"/>
      <c r="C924" s="32"/>
      <c r="D924" s="32"/>
      <c r="E924" s="32"/>
      <c r="F924" s="32"/>
      <c r="G924" s="32"/>
      <c r="H924" s="32"/>
    </row>
    <row r="925" spans="2:8" hidden="1">
      <c r="B925" s="32"/>
      <c r="C925" s="32"/>
      <c r="D925" s="32"/>
      <c r="E925" s="32"/>
      <c r="F925" s="32"/>
      <c r="G925" s="32"/>
      <c r="H925" s="32"/>
    </row>
    <row r="926" spans="2:8" hidden="1">
      <c r="B926" s="32"/>
      <c r="C926" s="32"/>
      <c r="D926" s="32"/>
      <c r="E926" s="32"/>
      <c r="F926" s="32"/>
      <c r="G926" s="32"/>
      <c r="H926" s="32"/>
    </row>
    <row r="927" spans="2:8" hidden="1">
      <c r="B927" s="32"/>
      <c r="C927" s="32"/>
      <c r="D927" s="32"/>
      <c r="E927" s="32"/>
      <c r="F927" s="32"/>
      <c r="G927" s="32"/>
      <c r="H927" s="32"/>
    </row>
    <row r="928" spans="2:8" hidden="1">
      <c r="B928" s="32"/>
      <c r="C928" s="32"/>
      <c r="D928" s="32"/>
      <c r="E928" s="32"/>
      <c r="F928" s="32"/>
      <c r="G928" s="32"/>
      <c r="H928" s="32"/>
    </row>
    <row r="929" spans="2:8" hidden="1">
      <c r="B929" s="32"/>
      <c r="C929" s="32"/>
      <c r="D929" s="32"/>
      <c r="E929" s="32"/>
      <c r="F929" s="32"/>
      <c r="G929" s="32"/>
      <c r="H929" s="32"/>
    </row>
    <row r="930" spans="2:8" hidden="1">
      <c r="B930" s="32"/>
      <c r="C930" s="32"/>
      <c r="D930" s="32"/>
      <c r="E930" s="32"/>
      <c r="F930" s="32"/>
      <c r="G930" s="32"/>
      <c r="H930" s="32"/>
    </row>
    <row r="931" spans="2:8" hidden="1">
      <c r="B931" s="32"/>
      <c r="C931" s="32"/>
      <c r="D931" s="32"/>
      <c r="E931" s="32"/>
      <c r="F931" s="32"/>
      <c r="G931" s="32"/>
      <c r="H931" s="32"/>
    </row>
    <row r="932" spans="2:8" hidden="1">
      <c r="B932" s="32"/>
      <c r="C932" s="32"/>
      <c r="D932" s="32"/>
      <c r="E932" s="32"/>
      <c r="F932" s="32"/>
      <c r="G932" s="32"/>
      <c r="H932" s="32"/>
    </row>
    <row r="933" spans="2:8" hidden="1">
      <c r="B933" s="32"/>
      <c r="C933" s="32"/>
      <c r="D933" s="32"/>
      <c r="E933" s="32"/>
      <c r="F933" s="32"/>
      <c r="G933" s="32"/>
      <c r="H933" s="32"/>
    </row>
    <row r="934" spans="2:8" hidden="1">
      <c r="B934" s="32"/>
      <c r="C934" s="32"/>
      <c r="D934" s="32"/>
      <c r="E934" s="32"/>
      <c r="F934" s="32"/>
      <c r="G934" s="32"/>
      <c r="H934" s="32"/>
    </row>
    <row r="935" spans="2:8" hidden="1">
      <c r="B935" s="32"/>
      <c r="C935" s="32"/>
      <c r="D935" s="32"/>
      <c r="E935" s="32"/>
      <c r="F935" s="32"/>
      <c r="G935" s="32"/>
      <c r="H935" s="32"/>
    </row>
    <row r="936" spans="2:8" hidden="1">
      <c r="B936" s="32"/>
      <c r="C936" s="32"/>
      <c r="D936" s="32"/>
      <c r="E936" s="32"/>
      <c r="F936" s="32"/>
      <c r="G936" s="32"/>
      <c r="H936" s="32"/>
    </row>
    <row r="937" spans="2:8" hidden="1">
      <c r="B937" s="32"/>
      <c r="C937" s="32"/>
      <c r="D937" s="32"/>
      <c r="E937" s="32"/>
      <c r="F937" s="32"/>
      <c r="G937" s="32"/>
      <c r="H937" s="32"/>
    </row>
    <row r="938" spans="2:8" hidden="1">
      <c r="B938" s="32"/>
      <c r="C938" s="32"/>
      <c r="D938" s="32"/>
      <c r="E938" s="32"/>
      <c r="F938" s="32"/>
      <c r="G938" s="32"/>
      <c r="H938" s="32"/>
    </row>
    <row r="939" spans="2:8" hidden="1">
      <c r="B939" s="32"/>
      <c r="C939" s="32"/>
      <c r="D939" s="32"/>
      <c r="E939" s="32"/>
      <c r="F939" s="32"/>
      <c r="G939" s="32"/>
      <c r="H939" s="32"/>
    </row>
    <row r="940" spans="2:8" hidden="1">
      <c r="B940" s="32"/>
      <c r="C940" s="32"/>
      <c r="D940" s="32"/>
      <c r="E940" s="32"/>
      <c r="F940" s="32"/>
      <c r="G940" s="32"/>
      <c r="H940" s="32"/>
    </row>
    <row r="941" spans="2:8" hidden="1">
      <c r="B941" s="32"/>
      <c r="C941" s="32"/>
      <c r="D941" s="32"/>
      <c r="E941" s="32"/>
      <c r="F941" s="32"/>
      <c r="G941" s="32"/>
      <c r="H941" s="32"/>
    </row>
    <row r="942" spans="2:8" hidden="1">
      <c r="B942" s="32"/>
      <c r="C942" s="32"/>
      <c r="D942" s="32"/>
      <c r="E942" s="32"/>
      <c r="F942" s="32"/>
      <c r="G942" s="32"/>
      <c r="H942" s="32"/>
    </row>
    <row r="943" spans="2:8" hidden="1">
      <c r="B943" s="32"/>
      <c r="C943" s="32"/>
      <c r="D943" s="32"/>
      <c r="E943" s="32"/>
      <c r="F943" s="32"/>
      <c r="G943" s="32"/>
      <c r="H943" s="32"/>
    </row>
    <row r="944" spans="2:8" hidden="1">
      <c r="B944" s="32"/>
      <c r="C944" s="32"/>
      <c r="D944" s="32"/>
      <c r="E944" s="32"/>
      <c r="F944" s="32"/>
      <c r="G944" s="32"/>
      <c r="H944" s="32"/>
    </row>
    <row r="945" spans="2:8" hidden="1">
      <c r="B945" s="32"/>
      <c r="C945" s="32"/>
      <c r="D945" s="32"/>
      <c r="E945" s="32"/>
      <c r="F945" s="32"/>
      <c r="G945" s="32"/>
      <c r="H945" s="32"/>
    </row>
    <row r="946" spans="2:8" hidden="1">
      <c r="B946" s="32"/>
      <c r="C946" s="32"/>
      <c r="D946" s="32"/>
      <c r="E946" s="32"/>
      <c r="F946" s="32"/>
      <c r="G946" s="32"/>
      <c r="H946" s="32"/>
    </row>
    <row r="947" spans="2:8" hidden="1">
      <c r="B947" s="32"/>
      <c r="C947" s="32"/>
      <c r="D947" s="32"/>
      <c r="E947" s="32"/>
      <c r="F947" s="32"/>
      <c r="G947" s="32"/>
      <c r="H947" s="32"/>
    </row>
    <row r="948" spans="2:8" hidden="1">
      <c r="B948" s="32"/>
      <c r="C948" s="32"/>
      <c r="D948" s="32"/>
      <c r="E948" s="32"/>
      <c r="F948" s="32"/>
      <c r="G948" s="32"/>
      <c r="H948" s="32"/>
    </row>
    <row r="949" spans="2:8" hidden="1">
      <c r="B949" s="32"/>
      <c r="C949" s="32"/>
      <c r="D949" s="32"/>
      <c r="E949" s="32"/>
      <c r="F949" s="32"/>
      <c r="G949" s="32"/>
      <c r="H949" s="32"/>
    </row>
    <row r="950" spans="2:8" hidden="1">
      <c r="B950" s="32"/>
      <c r="C950" s="32"/>
      <c r="D950" s="32"/>
      <c r="E950" s="32"/>
      <c r="F950" s="32"/>
      <c r="G950" s="32"/>
      <c r="H950" s="32"/>
    </row>
    <row r="951" spans="2:8" hidden="1">
      <c r="B951" s="32"/>
      <c r="C951" s="32"/>
      <c r="D951" s="32"/>
      <c r="E951" s="32"/>
      <c r="F951" s="32"/>
      <c r="G951" s="32"/>
      <c r="H951" s="32"/>
    </row>
    <row r="952" spans="2:8" hidden="1">
      <c r="B952" s="32"/>
      <c r="C952" s="32"/>
      <c r="D952" s="32"/>
      <c r="E952" s="32"/>
      <c r="F952" s="32"/>
      <c r="G952" s="32"/>
      <c r="H952" s="32"/>
    </row>
    <row r="953" spans="2:8" hidden="1">
      <c r="B953" s="32"/>
      <c r="C953" s="32"/>
      <c r="D953" s="32"/>
      <c r="E953" s="32"/>
      <c r="F953" s="32"/>
      <c r="G953" s="32"/>
      <c r="H953" s="32"/>
    </row>
    <row r="954" spans="2:8" hidden="1">
      <c r="B954" s="32"/>
      <c r="C954" s="32"/>
      <c r="D954" s="32"/>
      <c r="E954" s="32"/>
      <c r="F954" s="32"/>
      <c r="G954" s="32"/>
      <c r="H954" s="32"/>
    </row>
    <row r="955" spans="2:8" hidden="1">
      <c r="B955" s="32"/>
      <c r="C955" s="32"/>
      <c r="D955" s="32"/>
      <c r="E955" s="32"/>
      <c r="F955" s="32"/>
      <c r="G955" s="32"/>
      <c r="H955" s="32"/>
    </row>
    <row r="956" spans="2:8" hidden="1">
      <c r="B956" s="32"/>
      <c r="C956" s="32"/>
      <c r="D956" s="32"/>
      <c r="E956" s="32"/>
      <c r="F956" s="32"/>
      <c r="G956" s="32"/>
      <c r="H956" s="32"/>
    </row>
    <row r="957" spans="2:8" hidden="1">
      <c r="B957" s="32"/>
      <c r="C957" s="32"/>
      <c r="D957" s="32"/>
      <c r="E957" s="32"/>
      <c r="F957" s="32"/>
      <c r="G957" s="32"/>
      <c r="H957" s="32"/>
    </row>
    <row r="958" spans="2:8" hidden="1">
      <c r="B958" s="32"/>
      <c r="C958" s="32"/>
      <c r="D958" s="32"/>
      <c r="E958" s="32"/>
      <c r="F958" s="32"/>
      <c r="G958" s="32"/>
      <c r="H958" s="32"/>
    </row>
    <row r="959" spans="2:8" hidden="1">
      <c r="B959" s="32"/>
      <c r="C959" s="32"/>
      <c r="D959" s="32"/>
      <c r="E959" s="32"/>
      <c r="F959" s="32"/>
      <c r="G959" s="32"/>
      <c r="H959" s="32"/>
    </row>
    <row r="960" spans="2:8" hidden="1">
      <c r="B960" s="32"/>
      <c r="C960" s="32"/>
      <c r="D960" s="32"/>
      <c r="E960" s="32"/>
      <c r="F960" s="32"/>
      <c r="G960" s="32"/>
      <c r="H960" s="32"/>
    </row>
    <row r="961" spans="2:8" hidden="1">
      <c r="B961" s="32"/>
      <c r="C961" s="32"/>
      <c r="D961" s="32"/>
      <c r="E961" s="32"/>
      <c r="F961" s="32"/>
      <c r="G961" s="32"/>
      <c r="H961" s="32"/>
    </row>
    <row r="962" spans="2:8" hidden="1">
      <c r="B962" s="32"/>
      <c r="C962" s="32"/>
      <c r="D962" s="32"/>
      <c r="E962" s="32"/>
      <c r="F962" s="32"/>
      <c r="G962" s="32"/>
      <c r="H962" s="32"/>
    </row>
    <row r="963" spans="2:8" hidden="1">
      <c r="B963" s="32"/>
      <c r="C963" s="32"/>
      <c r="D963" s="32"/>
      <c r="E963" s="32"/>
      <c r="F963" s="32"/>
      <c r="G963" s="32"/>
      <c r="H963" s="32"/>
    </row>
    <row r="964" spans="2:8" hidden="1">
      <c r="B964" s="32"/>
      <c r="C964" s="32"/>
      <c r="D964" s="32"/>
      <c r="E964" s="32"/>
      <c r="F964" s="32"/>
      <c r="G964" s="32"/>
      <c r="H964" s="32"/>
    </row>
    <row r="965" spans="2:8" hidden="1">
      <c r="B965" s="32"/>
      <c r="C965" s="32"/>
      <c r="D965" s="32"/>
      <c r="E965" s="32"/>
      <c r="F965" s="32"/>
      <c r="G965" s="32"/>
      <c r="H965" s="32"/>
    </row>
    <row r="966" spans="2:8" hidden="1">
      <c r="B966" s="32"/>
      <c r="C966" s="32"/>
      <c r="D966" s="32"/>
      <c r="E966" s="32"/>
      <c r="F966" s="32"/>
      <c r="G966" s="32"/>
      <c r="H966" s="32"/>
    </row>
    <row r="967" spans="2:8" hidden="1">
      <c r="B967" s="32"/>
      <c r="C967" s="32"/>
      <c r="D967" s="32"/>
      <c r="E967" s="32"/>
      <c r="F967" s="32"/>
      <c r="G967" s="32"/>
      <c r="H967" s="32"/>
    </row>
    <row r="968" spans="2:8" hidden="1">
      <c r="B968" s="32"/>
      <c r="C968" s="32"/>
      <c r="D968" s="32"/>
      <c r="E968" s="32"/>
      <c r="F968" s="32"/>
      <c r="G968" s="32"/>
      <c r="H968" s="32"/>
    </row>
    <row r="969" spans="2:8" hidden="1">
      <c r="B969" s="32"/>
      <c r="C969" s="32"/>
      <c r="D969" s="32"/>
      <c r="E969" s="32"/>
      <c r="F969" s="32"/>
      <c r="G969" s="32"/>
      <c r="H969" s="32"/>
    </row>
    <row r="970" spans="2:8" hidden="1">
      <c r="B970" s="32"/>
      <c r="C970" s="32"/>
      <c r="D970" s="32"/>
      <c r="E970" s="32"/>
      <c r="F970" s="32"/>
      <c r="G970" s="32"/>
      <c r="H970" s="32"/>
    </row>
    <row r="971" spans="2:8" hidden="1">
      <c r="B971" s="32"/>
      <c r="C971" s="32"/>
      <c r="D971" s="32"/>
      <c r="E971" s="32"/>
      <c r="F971" s="32"/>
      <c r="G971" s="32"/>
      <c r="H971" s="32"/>
    </row>
    <row r="972" spans="2:8" hidden="1">
      <c r="B972" s="32"/>
      <c r="C972" s="32"/>
      <c r="D972" s="32"/>
      <c r="E972" s="32"/>
      <c r="F972" s="32"/>
      <c r="G972" s="32"/>
      <c r="H972" s="32"/>
    </row>
    <row r="973" spans="2:8" hidden="1">
      <c r="B973" s="32"/>
      <c r="C973" s="32"/>
      <c r="D973" s="32"/>
      <c r="E973" s="32"/>
      <c r="F973" s="32"/>
      <c r="G973" s="32"/>
      <c r="H973" s="32"/>
    </row>
    <row r="974" spans="2:8" hidden="1">
      <c r="B974" s="32"/>
      <c r="C974" s="32"/>
      <c r="D974" s="32"/>
      <c r="E974" s="32"/>
      <c r="F974" s="32"/>
      <c r="G974" s="32"/>
      <c r="H974" s="32"/>
    </row>
    <row r="975" spans="2:8" hidden="1">
      <c r="B975" s="32"/>
      <c r="C975" s="32"/>
      <c r="D975" s="32"/>
      <c r="E975" s="32"/>
      <c r="F975" s="32"/>
      <c r="G975" s="32"/>
      <c r="H975" s="32"/>
    </row>
    <row r="976" spans="2:8" hidden="1">
      <c r="B976" s="32"/>
      <c r="C976" s="32"/>
      <c r="D976" s="32"/>
      <c r="E976" s="32"/>
      <c r="F976" s="32"/>
      <c r="G976" s="32"/>
      <c r="H976" s="32"/>
    </row>
    <row r="977" spans="2:8" hidden="1">
      <c r="B977" s="32"/>
      <c r="C977" s="32"/>
      <c r="D977" s="32"/>
      <c r="E977" s="32"/>
      <c r="F977" s="32"/>
      <c r="G977" s="32"/>
      <c r="H977" s="32"/>
    </row>
    <row r="978" spans="2:8" hidden="1">
      <c r="B978" s="32"/>
      <c r="C978" s="32"/>
      <c r="D978" s="32"/>
      <c r="E978" s="32"/>
      <c r="F978" s="32"/>
      <c r="G978" s="32"/>
      <c r="H978" s="32"/>
    </row>
    <row r="979" spans="2:8" hidden="1">
      <c r="B979" s="32"/>
      <c r="C979" s="32"/>
      <c r="D979" s="32"/>
      <c r="E979" s="32"/>
      <c r="F979" s="32"/>
      <c r="G979" s="32"/>
      <c r="H979" s="32"/>
    </row>
    <row r="980" spans="2:8" hidden="1">
      <c r="B980" s="32"/>
      <c r="C980" s="32"/>
      <c r="D980" s="32"/>
      <c r="E980" s="32"/>
      <c r="F980" s="32"/>
      <c r="G980" s="32"/>
      <c r="H980" s="32"/>
    </row>
    <row r="981" spans="2:8" hidden="1">
      <c r="B981" s="32"/>
      <c r="C981" s="32"/>
      <c r="D981" s="32"/>
      <c r="E981" s="32"/>
      <c r="F981" s="32"/>
      <c r="G981" s="32"/>
      <c r="H981" s="32"/>
    </row>
    <row r="982" spans="2:8" hidden="1">
      <c r="B982" s="32"/>
      <c r="C982" s="32"/>
      <c r="D982" s="32"/>
      <c r="E982" s="32"/>
      <c r="F982" s="32"/>
      <c r="G982" s="32"/>
      <c r="H982" s="32"/>
    </row>
    <row r="983" spans="2:8" hidden="1">
      <c r="B983" s="32"/>
      <c r="C983" s="32"/>
      <c r="D983" s="32"/>
      <c r="E983" s="32"/>
      <c r="F983" s="32"/>
      <c r="G983" s="32"/>
      <c r="H983" s="32"/>
    </row>
    <row r="984" spans="2:8" hidden="1">
      <c r="B984" s="32"/>
      <c r="C984" s="32"/>
      <c r="D984" s="32"/>
      <c r="E984" s="32"/>
      <c r="F984" s="32"/>
      <c r="G984" s="32"/>
      <c r="H984" s="32"/>
    </row>
    <row r="985" spans="2:8" hidden="1">
      <c r="B985" s="32"/>
      <c r="C985" s="32"/>
      <c r="D985" s="32"/>
      <c r="E985" s="32"/>
      <c r="F985" s="32"/>
      <c r="G985" s="32"/>
      <c r="H985" s="32"/>
    </row>
    <row r="986" spans="2:8" hidden="1">
      <c r="B986" s="32"/>
      <c r="C986" s="32"/>
      <c r="D986" s="32"/>
      <c r="E986" s="32"/>
      <c r="F986" s="32"/>
      <c r="G986" s="32"/>
      <c r="H986" s="32"/>
    </row>
    <row r="987" spans="2:8" hidden="1">
      <c r="B987" s="32"/>
      <c r="C987" s="32"/>
      <c r="D987" s="32"/>
      <c r="E987" s="32"/>
      <c r="F987" s="32"/>
      <c r="G987" s="32"/>
      <c r="H987" s="32"/>
    </row>
    <row r="988" spans="2:8" hidden="1">
      <c r="B988" s="32"/>
      <c r="C988" s="32"/>
      <c r="D988" s="32"/>
      <c r="E988" s="32"/>
      <c r="F988" s="32"/>
      <c r="G988" s="32"/>
      <c r="H988" s="32"/>
    </row>
    <row r="989" spans="2:8" hidden="1">
      <c r="B989" s="32"/>
      <c r="C989" s="32"/>
      <c r="D989" s="32"/>
      <c r="E989" s="32"/>
      <c r="F989" s="32"/>
      <c r="G989" s="32"/>
      <c r="H989" s="32"/>
    </row>
    <row r="990" spans="2:8" hidden="1">
      <c r="B990" s="32"/>
      <c r="C990" s="32"/>
      <c r="D990" s="32"/>
      <c r="E990" s="32"/>
      <c r="F990" s="32"/>
      <c r="G990" s="32"/>
      <c r="H990" s="32"/>
    </row>
    <row r="991" spans="2:8" hidden="1">
      <c r="B991" s="32"/>
      <c r="C991" s="32"/>
      <c r="D991" s="32"/>
      <c r="E991" s="32"/>
      <c r="F991" s="32"/>
      <c r="G991" s="32"/>
      <c r="H991" s="32"/>
    </row>
    <row r="992" spans="2:8" hidden="1">
      <c r="B992" s="32"/>
      <c r="C992" s="32"/>
      <c r="D992" s="32"/>
      <c r="E992" s="32"/>
      <c r="F992" s="32"/>
      <c r="G992" s="32"/>
      <c r="H992" s="32"/>
    </row>
    <row r="993" spans="2:8" hidden="1">
      <c r="B993" s="32"/>
      <c r="C993" s="32"/>
      <c r="D993" s="32"/>
      <c r="E993" s="32"/>
      <c r="F993" s="32"/>
      <c r="G993" s="32"/>
      <c r="H993" s="32"/>
    </row>
    <row r="994" spans="2:8" hidden="1">
      <c r="B994" s="32"/>
      <c r="C994" s="32"/>
      <c r="D994" s="32"/>
      <c r="E994" s="32"/>
      <c r="F994" s="32"/>
      <c r="G994" s="32"/>
      <c r="H994" s="32"/>
    </row>
    <row r="995" spans="2:8" hidden="1">
      <c r="B995" s="32"/>
      <c r="C995" s="32"/>
      <c r="D995" s="32"/>
      <c r="E995" s="32"/>
      <c r="F995" s="32"/>
      <c r="G995" s="32"/>
      <c r="H995" s="32"/>
    </row>
    <row r="996" spans="2:8" hidden="1">
      <c r="B996" s="32"/>
      <c r="C996" s="32"/>
      <c r="D996" s="32"/>
      <c r="E996" s="32"/>
      <c r="F996" s="32"/>
      <c r="G996" s="32"/>
      <c r="H996" s="32"/>
    </row>
    <row r="997" spans="2:8" hidden="1">
      <c r="B997" s="32"/>
      <c r="C997" s="32"/>
      <c r="D997" s="32"/>
      <c r="E997" s="32"/>
      <c r="F997" s="32"/>
      <c r="G997" s="32"/>
      <c r="H997" s="32"/>
    </row>
    <row r="998" spans="2:8" hidden="1">
      <c r="B998" s="32"/>
      <c r="C998" s="32"/>
      <c r="D998" s="32"/>
      <c r="E998" s="32"/>
      <c r="F998" s="32"/>
      <c r="G998" s="32"/>
      <c r="H998" s="32"/>
    </row>
    <row r="999" spans="2:8" hidden="1">
      <c r="B999" s="32"/>
      <c r="C999" s="32"/>
      <c r="D999" s="32"/>
      <c r="E999" s="32"/>
      <c r="F999" s="32"/>
      <c r="G999" s="32"/>
      <c r="H999" s="32"/>
    </row>
    <row r="1000" spans="2:8" hidden="1">
      <c r="B1000" s="32"/>
      <c r="C1000" s="32"/>
      <c r="D1000" s="32"/>
      <c r="E1000" s="32"/>
      <c r="F1000" s="32"/>
      <c r="G1000" s="32"/>
      <c r="H1000" s="32"/>
    </row>
    <row r="1001" spans="2:8" hidden="1">
      <c r="B1001" s="32"/>
      <c r="C1001" s="32"/>
      <c r="D1001" s="32"/>
      <c r="E1001" s="32"/>
      <c r="F1001" s="32"/>
      <c r="G1001" s="32"/>
      <c r="H1001" s="32"/>
    </row>
    <row r="1002" spans="2:8" hidden="1">
      <c r="B1002" s="32"/>
      <c r="C1002" s="32"/>
      <c r="D1002" s="32"/>
      <c r="E1002" s="32"/>
      <c r="F1002" s="32"/>
      <c r="G1002" s="32"/>
      <c r="H1002" s="32"/>
    </row>
    <row r="1003" spans="2:8" hidden="1">
      <c r="B1003" s="32"/>
      <c r="C1003" s="32"/>
      <c r="D1003" s="32"/>
      <c r="E1003" s="32"/>
      <c r="F1003" s="32"/>
      <c r="G1003" s="32"/>
      <c r="H1003" s="32"/>
    </row>
    <row r="1004" spans="2:8" hidden="1">
      <c r="B1004" s="32"/>
      <c r="C1004" s="32"/>
      <c r="D1004" s="32"/>
      <c r="E1004" s="32"/>
      <c r="F1004" s="32"/>
      <c r="G1004" s="32"/>
      <c r="H1004" s="32"/>
    </row>
    <row r="1005" spans="2:8" hidden="1">
      <c r="B1005" s="32"/>
      <c r="C1005" s="32"/>
      <c r="D1005" s="32"/>
      <c r="E1005" s="32"/>
      <c r="F1005" s="32"/>
      <c r="G1005" s="32"/>
    </row>
    <row r="1006" spans="2:8" hidden="1">
      <c r="B1006" s="32"/>
      <c r="C1006" s="32"/>
      <c r="D1006" s="32"/>
      <c r="E1006" s="32"/>
      <c r="F1006" s="32"/>
      <c r="G1006" s="32"/>
    </row>
  </sheetData>
  <sheetProtection password="8B16" sheet="1" objects="1" scenarios="1"/>
  <mergeCells count="7">
    <mergeCell ref="B2:G3"/>
    <mergeCell ref="G15:G16"/>
    <mergeCell ref="E11:E12"/>
    <mergeCell ref="E15:E16"/>
    <mergeCell ref="B14:B15"/>
    <mergeCell ref="F9:F10"/>
    <mergeCell ref="E5:F5"/>
  </mergeCells>
  <phoneticPr fontId="0" type="noConversion"/>
  <printOptions horizontalCentered="1" verticalCentered="1"/>
  <pageMargins left="0.25" right="0.25" top="0.75" bottom="0.75" header="0.3" footer="0.3"/>
  <pageSetup scale="92" orientation="landscape" horizontalDpi="1200" r:id="rId1"/>
  <headerFooter alignWithMargins="0">
    <oddFooter>&amp;CAWWA Free Water Audit Software v5.0&amp;R&amp;A     &amp;P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27"/>
  <sheetViews>
    <sheetView workbookViewId="0">
      <selection activeCell="N8" sqref="N8"/>
    </sheetView>
  </sheetViews>
  <sheetFormatPr defaultRowHeight="12.75"/>
  <cols>
    <col min="1" max="1" width="2.7109375" customWidth="1"/>
    <col min="2" max="2" width="61.7109375" customWidth="1"/>
    <col min="3" max="3" width="6.85546875" customWidth="1"/>
    <col min="4" max="4" width="8.85546875" customWidth="1"/>
    <col min="5" max="5" width="9.28515625" bestFit="1" customWidth="1"/>
    <col min="6" max="6" width="8.7109375" bestFit="1" customWidth="1"/>
    <col min="7" max="7" width="12.5703125" bestFit="1" customWidth="1"/>
    <col min="8" max="8" width="10.140625" customWidth="1"/>
    <col min="9" max="9" width="10.7109375" bestFit="1" customWidth="1"/>
    <col min="10" max="10" width="9.28515625" customWidth="1"/>
    <col min="11" max="11" width="11.42578125" bestFit="1" customWidth="1"/>
    <col min="12" max="12" width="9.42578125" bestFit="1" customWidth="1"/>
    <col min="13" max="13" width="13.5703125" bestFit="1" customWidth="1"/>
  </cols>
  <sheetData>
    <row r="1" spans="1:13" ht="129.6" customHeight="1"/>
    <row r="2" spans="1:13">
      <c r="G2" s="137" t="s">
        <v>120</v>
      </c>
    </row>
    <row r="3" spans="1:13">
      <c r="C3" s="136" t="s">
        <v>117</v>
      </c>
      <c r="D3" s="136" t="s">
        <v>118</v>
      </c>
      <c r="E3" s="136" t="s">
        <v>121</v>
      </c>
      <c r="F3" s="136" t="s">
        <v>122</v>
      </c>
      <c r="G3" s="136" t="s">
        <v>119</v>
      </c>
      <c r="H3" s="136" t="s">
        <v>123</v>
      </c>
      <c r="I3" s="136" t="s">
        <v>165</v>
      </c>
      <c r="J3" s="136"/>
      <c r="K3" s="136" t="s">
        <v>163</v>
      </c>
      <c r="L3" s="136" t="s">
        <v>162</v>
      </c>
      <c r="M3" s="136" t="s">
        <v>164</v>
      </c>
    </row>
    <row r="4" spans="1:13" ht="13.5">
      <c r="B4" s="144" t="s">
        <v>152</v>
      </c>
      <c r="C4" s="142">
        <f>IF('Reporting Worksheet'!E15="n/a",0,'Reporting Worksheet'!E15)</f>
        <v>3</v>
      </c>
      <c r="D4" s="276">
        <f>'Reporting Worksheet'!T15</f>
        <v>27.672151584705603</v>
      </c>
      <c r="E4" s="143">
        <f t="shared" ref="E4:E9" si="0">D4</f>
        <v>27.672151584705603</v>
      </c>
      <c r="F4" s="143">
        <f>IF(D4&lt;&gt;0,E4/10,0)</f>
        <v>2.7672151584705604</v>
      </c>
      <c r="G4" s="140">
        <f t="shared" ref="G4:G23" si="1">C4*F4</f>
        <v>8.3016454754116822</v>
      </c>
      <c r="H4" s="141">
        <f t="shared" ref="H4:H23" si="2">IF(F4=0,0,E4-G4)</f>
        <v>19.37050610929392</v>
      </c>
      <c r="I4">
        <f t="array" aca="1" ref="I4" ca="1">SUM(1*(H4&lt;$H$4:$H$23))+1+IF(ROW(H4)-ROW($H$4)=0,0,SUM(1*(H4=OFFSET($H$4,0,0,INDEX(ROW(H4)-ROW($H$4)+1,1)-1,1))))</f>
        <v>1</v>
      </c>
      <c r="J4" s="373" t="s">
        <v>181</v>
      </c>
      <c r="K4">
        <f>IF(D4&lt;&gt;0,1,0)</f>
        <v>1</v>
      </c>
      <c r="L4">
        <f t="shared" ref="L4:L23" si="3">IF(C4&gt;0,1,0)</f>
        <v>1</v>
      </c>
      <c r="M4">
        <f t="shared" ref="M4:M23" si="4">IF(AND(K4=1,L4=0),1,0)</f>
        <v>0</v>
      </c>
    </row>
    <row r="5" spans="1:13">
      <c r="B5" s="657" t="s">
        <v>693</v>
      </c>
      <c r="C5" s="142">
        <f>IF('Reporting Worksheet'!J15="n/a",0,'Reporting Worksheet'!J15)</f>
        <v>3</v>
      </c>
      <c r="D5" s="276">
        <f>'Reporting Worksheet'!U15</f>
        <v>0</v>
      </c>
      <c r="E5" s="143">
        <f t="shared" si="0"/>
        <v>0</v>
      </c>
      <c r="F5" s="143">
        <f t="shared" ref="F5:F23" si="5">IF(D5&lt;&gt;0,E5/10,0)</f>
        <v>0</v>
      </c>
      <c r="G5" s="140">
        <f t="shared" si="1"/>
        <v>0</v>
      </c>
      <c r="H5" s="141">
        <f t="shared" si="2"/>
        <v>0</v>
      </c>
      <c r="I5">
        <f t="array" aca="1" ref="I5" ca="1">SUM(1*(H5&lt;$H$4:$H$23))+1+IF(ROW(H5)-ROW($H$4)=0,0,SUM(1*(H5=OFFSET($H$4,0,0,INDEX(ROW(H5)-ROW($H$4)+1,1)-1,1))))</f>
        <v>15</v>
      </c>
      <c r="J5" s="373" t="s">
        <v>32</v>
      </c>
      <c r="K5" s="773">
        <f t="shared" ref="K5:K23" si="6">IF(D5&lt;&gt;0,1,0)</f>
        <v>0</v>
      </c>
      <c r="L5">
        <f t="shared" si="3"/>
        <v>1</v>
      </c>
      <c r="M5">
        <f t="shared" si="4"/>
        <v>0</v>
      </c>
    </row>
    <row r="6" spans="1:13" ht="13.5">
      <c r="B6" s="144" t="s">
        <v>6</v>
      </c>
      <c r="C6" s="142">
        <f>IF('Reporting Worksheet'!E16="n/a",0,'Reporting Worksheet'!E16)</f>
        <v>3</v>
      </c>
      <c r="D6" s="276">
        <f>'Reporting Worksheet'!T16</f>
        <v>4.4369932809232839</v>
      </c>
      <c r="E6" s="143">
        <f t="shared" si="0"/>
        <v>4.4369932809232839</v>
      </c>
      <c r="F6" s="143">
        <f t="shared" si="5"/>
        <v>0.44369932809232837</v>
      </c>
      <c r="G6" s="140">
        <f t="shared" si="1"/>
        <v>1.331097984276985</v>
      </c>
      <c r="H6" s="141">
        <f t="shared" si="2"/>
        <v>3.1058952966462989</v>
      </c>
      <c r="I6">
        <f t="array" aca="1" ref="I6" ca="1">SUM(1*(H6&lt;$H$4:$H$23))+1+IF(ROW(H6)-ROW($H$4)=0,0,SUM(1*(H6=OFFSET($H$4,0,0,INDEX(ROW(H6)-ROW($H$4)+1,1)-1,1))))</f>
        <v>5</v>
      </c>
      <c r="J6" s="373" t="s">
        <v>180</v>
      </c>
      <c r="K6">
        <f t="shared" si="6"/>
        <v>1</v>
      </c>
      <c r="L6">
        <f t="shared" si="3"/>
        <v>1</v>
      </c>
      <c r="M6">
        <f t="shared" si="4"/>
        <v>0</v>
      </c>
    </row>
    <row r="7" spans="1:13">
      <c r="B7" s="657" t="s">
        <v>543</v>
      </c>
      <c r="C7" s="142">
        <f>IF('Reporting Worksheet'!J16="n/a",0,'Reporting Worksheet'!J16)</f>
        <v>5</v>
      </c>
      <c r="D7" s="276">
        <f>'Reporting Worksheet'!U16</f>
        <v>0</v>
      </c>
      <c r="E7" s="143">
        <f t="shared" si="0"/>
        <v>0</v>
      </c>
      <c r="F7" s="143">
        <f t="shared" si="5"/>
        <v>0</v>
      </c>
      <c r="G7" s="140">
        <f t="shared" si="1"/>
        <v>0</v>
      </c>
      <c r="H7" s="141">
        <f t="shared" si="2"/>
        <v>0</v>
      </c>
      <c r="I7">
        <f t="array" aca="1" ref="I7" ca="1">SUM(1*(H7&lt;$H$4:$H$23))+1+IF(ROW(H7)-ROW($H$4)=0,0,SUM(1*(H7=OFFSET($H$4,0,0,INDEX(ROW(H7)-ROW($H$4)+1,1)-1,1))))</f>
        <v>16</v>
      </c>
      <c r="J7" s="373" t="s">
        <v>358</v>
      </c>
      <c r="K7" s="773">
        <f t="shared" si="6"/>
        <v>0</v>
      </c>
      <c r="L7">
        <f t="shared" si="3"/>
        <v>1</v>
      </c>
      <c r="M7">
        <f t="shared" si="4"/>
        <v>0</v>
      </c>
    </row>
    <row r="8" spans="1:13" ht="13.5">
      <c r="B8" s="144" t="s">
        <v>7</v>
      </c>
      <c r="C8" s="142">
        <f>IF('Reporting Worksheet'!E17="n/a",0,'Reporting Worksheet'!E17)</f>
        <v>3</v>
      </c>
      <c r="D8" s="276">
        <f>'Reporting Worksheet'!T17</f>
        <v>2.8908551343711104</v>
      </c>
      <c r="E8" s="143">
        <f t="shared" si="0"/>
        <v>2.8908551343711104</v>
      </c>
      <c r="F8" s="143">
        <f t="shared" si="5"/>
        <v>0.28908551343711103</v>
      </c>
      <c r="G8" s="140">
        <f t="shared" si="1"/>
        <v>0.86725654031133304</v>
      </c>
      <c r="H8" s="141">
        <f t="shared" si="2"/>
        <v>2.0235985940597772</v>
      </c>
      <c r="I8">
        <f t="array" aca="1" ref="I8" ca="1">SUM(1*(H8&lt;$H$4:$H$23))+1+IF(ROW(H8)-ROW($H$4)=0,0,SUM(1*(H8=OFFSET($H$4,0,0,INDEX(ROW(H8)-ROW($H$4)+1,1)-1,1))))</f>
        <v>8</v>
      </c>
      <c r="J8" s="373" t="s">
        <v>182</v>
      </c>
      <c r="K8">
        <f t="shared" si="6"/>
        <v>1</v>
      </c>
      <c r="L8">
        <f t="shared" si="3"/>
        <v>1</v>
      </c>
      <c r="M8">
        <f t="shared" si="4"/>
        <v>0</v>
      </c>
    </row>
    <row r="9" spans="1:13">
      <c r="B9" s="658" t="s">
        <v>554</v>
      </c>
      <c r="C9" s="277">
        <f>IF('Reporting Worksheet'!J17="n/a",0,'Reporting Worksheet'!J17)</f>
        <v>5</v>
      </c>
      <c r="D9" s="278">
        <f>'Reporting Worksheet'!U17</f>
        <v>0</v>
      </c>
      <c r="E9" s="279">
        <f t="shared" si="0"/>
        <v>0</v>
      </c>
      <c r="F9" s="279">
        <f t="shared" si="5"/>
        <v>0</v>
      </c>
      <c r="G9" s="280">
        <f t="shared" si="1"/>
        <v>0</v>
      </c>
      <c r="H9" s="279">
        <f t="shared" si="2"/>
        <v>0</v>
      </c>
      <c r="I9" s="281">
        <f t="array" aca="1" ref="I9" ca="1">SUM(1*(H9&lt;$H$4:$H$23))+1+IF(ROW(H9)-ROW($H$4)=0,0,SUM(1*(H9=OFFSET($H$4,0,0,INDEX(ROW(H9)-ROW($H$4)+1,1)-1,1))))</f>
        <v>17</v>
      </c>
      <c r="J9" s="374" t="s">
        <v>359</v>
      </c>
      <c r="K9" s="773">
        <f t="shared" si="6"/>
        <v>0</v>
      </c>
      <c r="L9" s="281">
        <f t="shared" si="3"/>
        <v>1</v>
      </c>
      <c r="M9" s="281">
        <f t="shared" si="4"/>
        <v>0</v>
      </c>
    </row>
    <row r="10" spans="1:13" ht="13.5">
      <c r="B10" s="288" t="s">
        <v>153</v>
      </c>
      <c r="C10" s="289">
        <f>IF('Reporting Worksheet'!E23="n/a",0,'Reporting Worksheet'!E23)</f>
        <v>5</v>
      </c>
      <c r="D10" s="290">
        <f>IF(AND('Reporting Worksheet'!E23="n/a",'Reporting Worksheet'!G23=0),0,8)</f>
        <v>8</v>
      </c>
      <c r="E10" s="291">
        <f t="shared" ref="E10:E23" si="7">D10/$D$26</f>
        <v>11.555555555555555</v>
      </c>
      <c r="F10" s="291">
        <f t="shared" si="5"/>
        <v>1.1555555555555554</v>
      </c>
      <c r="G10" s="291">
        <f t="shared" si="1"/>
        <v>5.7777777777777768</v>
      </c>
      <c r="H10" s="292">
        <f t="shared" si="2"/>
        <v>5.7777777777777786</v>
      </c>
      <c r="I10" s="293">
        <f t="array" aca="1" ref="I10" ca="1">SUM(1*(H10&lt;$H$4:$H$23))+1+IF(ROW(H10)-ROW($H$4)=0,0,SUM(1*(H10=OFFSET($H$4,0,0,INDEX(ROW(H10)-ROW($H$4)+1,1)-1,1))))</f>
        <v>3</v>
      </c>
      <c r="J10" s="375" t="s">
        <v>124</v>
      </c>
      <c r="K10" s="293">
        <f t="shared" si="6"/>
        <v>1</v>
      </c>
      <c r="L10" s="293">
        <f t="shared" si="3"/>
        <v>1</v>
      </c>
      <c r="M10" s="293">
        <f t="shared" si="4"/>
        <v>0</v>
      </c>
    </row>
    <row r="11" spans="1:13" ht="13.5">
      <c r="B11" s="295" t="s">
        <v>154</v>
      </c>
      <c r="C11" s="296">
        <f>IF('Reporting Worksheet'!E24="n/a",0,'Reporting Worksheet'!E24)</f>
        <v>0</v>
      </c>
      <c r="D11" s="297">
        <f>IF('Reporting Worksheet'!G24=0,0,6)</f>
        <v>0</v>
      </c>
      <c r="E11" s="298">
        <f t="shared" si="7"/>
        <v>0</v>
      </c>
      <c r="F11" s="298">
        <f t="shared" si="5"/>
        <v>0</v>
      </c>
      <c r="G11" s="298">
        <f t="shared" si="1"/>
        <v>0</v>
      </c>
      <c r="H11" s="299">
        <f t="shared" si="2"/>
        <v>0</v>
      </c>
      <c r="I11" s="300">
        <f t="array" aca="1" ref="I11" ca="1">SUM(1*(H11&lt;$H$4:$H$23))+1+IF(ROW(H11)-ROW($H$4)=0,0,SUM(1*(H11=OFFSET($H$4,0,0,INDEX(ROW(H11)-ROW($H$4)+1,1)-1,1))))</f>
        <v>18</v>
      </c>
      <c r="J11" s="376" t="s">
        <v>125</v>
      </c>
      <c r="K11" s="300">
        <f t="shared" si="6"/>
        <v>0</v>
      </c>
      <c r="L11" s="300">
        <f t="shared" si="3"/>
        <v>0</v>
      </c>
      <c r="M11" s="300">
        <f t="shared" si="4"/>
        <v>0</v>
      </c>
    </row>
    <row r="12" spans="1:13" ht="13.5">
      <c r="B12" s="295" t="s">
        <v>155</v>
      </c>
      <c r="C12" s="296">
        <f>IF('Reporting Worksheet'!E25="n/a",0,'Reporting Worksheet'!E25)</f>
        <v>0</v>
      </c>
      <c r="D12" s="297">
        <f>IF('Reporting Worksheet'!G25=0,0,6)</f>
        <v>0</v>
      </c>
      <c r="E12" s="298">
        <f t="shared" si="7"/>
        <v>0</v>
      </c>
      <c r="F12" s="298">
        <f t="shared" si="5"/>
        <v>0</v>
      </c>
      <c r="G12" s="298">
        <f t="shared" si="1"/>
        <v>0</v>
      </c>
      <c r="H12" s="299">
        <f t="shared" si="2"/>
        <v>0</v>
      </c>
      <c r="I12" s="300">
        <f t="array" aca="1" ref="I12" ca="1">SUM(1*(H12&lt;$H$4:$H$23))+1+IF(ROW(H12)-ROW($H$4)=0,0,SUM(1*(H12=OFFSET($H$4,0,0,INDEX(ROW(H12)-ROW($H$4)+1,1)-1,1))))</f>
        <v>19</v>
      </c>
      <c r="J12" s="376" t="s">
        <v>126</v>
      </c>
      <c r="K12" s="300">
        <f t="shared" si="6"/>
        <v>0</v>
      </c>
      <c r="L12" s="300">
        <f t="shared" si="3"/>
        <v>0</v>
      </c>
      <c r="M12" s="300">
        <f t="shared" si="4"/>
        <v>0</v>
      </c>
    </row>
    <row r="13" spans="1:13" ht="13.5">
      <c r="A13" t="s">
        <v>167</v>
      </c>
      <c r="B13" s="282" t="s">
        <v>156</v>
      </c>
      <c r="C13" s="294">
        <f>IF(OR('Reporting Worksheet'!R26=1,AND('Reporting Worksheet'!R26=2,'Reporting Worksheet'!N26=0)),5,'Reporting Worksheet'!E26)</f>
        <v>6</v>
      </c>
      <c r="D13" s="284">
        <v>1</v>
      </c>
      <c r="E13" s="285">
        <f t="shared" si="7"/>
        <v>1.4444444444444444</v>
      </c>
      <c r="F13" s="285">
        <f t="shared" si="5"/>
        <v>0.14444444444444443</v>
      </c>
      <c r="G13" s="285">
        <f t="shared" si="1"/>
        <v>0.86666666666666659</v>
      </c>
      <c r="H13" s="286">
        <f t="shared" si="2"/>
        <v>0.57777777777777783</v>
      </c>
      <c r="I13" s="287">
        <f t="array" aca="1" ref="I13" ca="1">SUM(1*(H13&lt;$H$4:$H$23))+1+IF(ROW(H13)-ROW($H$4)=0,0,SUM(1*(H13=OFFSET($H$4,0,0,INDEX(ROW(H13)-ROW($H$4)+1,1)-1,1))))</f>
        <v>11</v>
      </c>
      <c r="J13" s="377" t="s">
        <v>127</v>
      </c>
      <c r="K13" s="287">
        <f t="shared" si="6"/>
        <v>1</v>
      </c>
      <c r="L13" s="287">
        <f t="shared" si="3"/>
        <v>1</v>
      </c>
      <c r="M13" s="287">
        <f t="shared" si="4"/>
        <v>0</v>
      </c>
    </row>
    <row r="14" spans="1:13" ht="13.5">
      <c r="A14" t="s">
        <v>167</v>
      </c>
      <c r="B14" s="282" t="s">
        <v>157</v>
      </c>
      <c r="C14" s="294">
        <f>IF(OR('Reporting Worksheet'!R38=1,AND('Reporting Worksheet'!R38=2,'Reporting Worksheet'!N38=0)),5,'Reporting Worksheet'!E38)</f>
        <v>5</v>
      </c>
      <c r="D14" s="284">
        <v>4</v>
      </c>
      <c r="E14" s="285">
        <f t="shared" si="7"/>
        <v>5.7777777777777777</v>
      </c>
      <c r="F14" s="285">
        <f t="shared" si="5"/>
        <v>0.57777777777777772</v>
      </c>
      <c r="G14" s="285">
        <f t="shared" si="1"/>
        <v>2.8888888888888884</v>
      </c>
      <c r="H14" s="286">
        <f t="shared" si="2"/>
        <v>2.8888888888888893</v>
      </c>
      <c r="I14" s="287">
        <f t="array" aca="1" ref="I14" ca="1">SUM(1*(H14&lt;$H$4:$H$23))+1+IF(ROW(H14)-ROW($H$4)=0,0,SUM(1*(H14=OFFSET($H$4,0,0,INDEX(ROW(H14)-ROW($H$4)+1,1)-1,1))))</f>
        <v>6</v>
      </c>
      <c r="J14" s="377" t="s">
        <v>20</v>
      </c>
      <c r="K14" s="287">
        <f t="shared" si="6"/>
        <v>1</v>
      </c>
      <c r="L14" s="287">
        <f t="shared" si="3"/>
        <v>1</v>
      </c>
      <c r="M14" s="287">
        <f t="shared" si="4"/>
        <v>0</v>
      </c>
    </row>
    <row r="15" spans="1:13" ht="13.5">
      <c r="B15" s="288" t="s">
        <v>158</v>
      </c>
      <c r="C15" s="289">
        <f>IF('Reporting Worksheet'!E42="n/a",0,'Reporting Worksheet'!E42)</f>
        <v>3</v>
      </c>
      <c r="D15" s="290">
        <f>IF(AND('Reporting Worksheet'!E42="n/a",'Reporting Worksheet'!G42=0),0,6)</f>
        <v>6</v>
      </c>
      <c r="E15" s="291">
        <f t="shared" si="7"/>
        <v>8.6666666666666661</v>
      </c>
      <c r="F15" s="291">
        <f t="shared" si="5"/>
        <v>0.86666666666666659</v>
      </c>
      <c r="G15" s="291">
        <f t="shared" si="1"/>
        <v>2.5999999999999996</v>
      </c>
      <c r="H15" s="292">
        <f t="shared" si="2"/>
        <v>6.0666666666666664</v>
      </c>
      <c r="I15" s="293">
        <f t="array" aca="1" ref="I15" ca="1">SUM(1*(H15&lt;$H$4:$H$23))+1+IF(ROW(H15)-ROW($H$4)=0,0,SUM(1*(H15=OFFSET($H$4,0,0,INDEX(ROW(H15)-ROW($H$4)+1,1)-1,1))))</f>
        <v>2</v>
      </c>
      <c r="J15" s="375" t="s">
        <v>185</v>
      </c>
      <c r="K15" s="293">
        <f t="shared" si="6"/>
        <v>1</v>
      </c>
      <c r="L15" s="293">
        <f t="shared" si="3"/>
        <v>1</v>
      </c>
      <c r="M15" s="293">
        <f t="shared" si="4"/>
        <v>0</v>
      </c>
    </row>
    <row r="16" spans="1:13" ht="13.5">
      <c r="B16" s="282" t="s">
        <v>5</v>
      </c>
      <c r="C16" s="283">
        <f>IF('Reporting Worksheet'!G43=0,1,IF('Reporting Worksheet'!R43=1,5,'Reporting Worksheet'!E43))</f>
        <v>5</v>
      </c>
      <c r="D16" s="284">
        <v>4</v>
      </c>
      <c r="E16" s="285">
        <f t="shared" si="7"/>
        <v>5.7777777777777777</v>
      </c>
      <c r="F16" s="285">
        <f t="shared" si="5"/>
        <v>0.57777777777777772</v>
      </c>
      <c r="G16" s="285">
        <f t="shared" si="1"/>
        <v>2.8888888888888884</v>
      </c>
      <c r="H16" s="286">
        <f t="shared" si="2"/>
        <v>2.8888888888888893</v>
      </c>
      <c r="I16" s="287">
        <f t="array" aca="1" ref="I16" ca="1">SUM(1*(H16&lt;$H$4:$H$23))+1+IF(ROW(H16)-ROW($H$4)=0,0,SUM(1*(H16=OFFSET($H$4,0,0,INDEX(ROW(H16)-ROW($H$4)+1,1)-1,1))))</f>
        <v>7</v>
      </c>
      <c r="J16" s="377" t="s">
        <v>21</v>
      </c>
      <c r="K16" s="287">
        <f t="shared" si="6"/>
        <v>1</v>
      </c>
      <c r="L16" s="287">
        <f t="shared" si="3"/>
        <v>1</v>
      </c>
      <c r="M16" s="287">
        <f t="shared" si="4"/>
        <v>0</v>
      </c>
    </row>
    <row r="17" spans="2:13" ht="13.5">
      <c r="B17" s="282" t="s">
        <v>159</v>
      </c>
      <c r="C17" s="283">
        <f>'Reporting Worksheet'!E62</f>
        <v>8</v>
      </c>
      <c r="D17" s="284">
        <v>1</v>
      </c>
      <c r="E17" s="285">
        <f t="shared" si="7"/>
        <v>1.4444444444444444</v>
      </c>
      <c r="F17" s="285">
        <f t="shared" si="5"/>
        <v>0.14444444444444443</v>
      </c>
      <c r="G17" s="285">
        <f t="shared" si="1"/>
        <v>1.1555555555555554</v>
      </c>
      <c r="H17" s="286">
        <f t="shared" si="2"/>
        <v>0.28888888888888897</v>
      </c>
      <c r="I17" s="287">
        <f t="array" aca="1" ref="I17" ca="1">SUM(1*(H17&lt;$H$4:$H$23))+1+IF(ROW(H17)-ROW($H$4)=0,0,SUM(1*(H17=OFFSET($H$4,0,0,INDEX(ROW(H17)-ROW($H$4)+1,1)-1,1))))</f>
        <v>12</v>
      </c>
      <c r="J17" s="377" t="s">
        <v>142</v>
      </c>
      <c r="K17" s="287">
        <f t="shared" si="6"/>
        <v>1</v>
      </c>
      <c r="L17" s="287">
        <f t="shared" si="3"/>
        <v>1</v>
      </c>
      <c r="M17" s="287">
        <f t="shared" si="4"/>
        <v>0</v>
      </c>
    </row>
    <row r="18" spans="2:13" ht="13.5">
      <c r="B18" s="282" t="s">
        <v>149</v>
      </c>
      <c r="C18" s="283">
        <f>'Reporting Worksheet'!E63</f>
        <v>9</v>
      </c>
      <c r="D18" s="284">
        <v>1</v>
      </c>
      <c r="E18" s="285">
        <f t="shared" si="7"/>
        <v>1.4444444444444444</v>
      </c>
      <c r="F18" s="285">
        <f t="shared" si="5"/>
        <v>0.14444444444444443</v>
      </c>
      <c r="G18" s="285">
        <f t="shared" si="1"/>
        <v>1.2999999999999998</v>
      </c>
      <c r="H18" s="286">
        <f t="shared" si="2"/>
        <v>0.1444444444444446</v>
      </c>
      <c r="I18" s="287">
        <f t="array" aca="1" ref="I18" ca="1">SUM(1*(H18&lt;$H$4:$H$23))+1+IF(ROW(H18)-ROW($H$4)=0,0,SUM(1*(H18=OFFSET($H$4,0,0,INDEX(ROW(H18)-ROW($H$4)+1,1)-1,1))))</f>
        <v>13</v>
      </c>
      <c r="J18" s="377" t="s">
        <v>128</v>
      </c>
      <c r="K18" s="287">
        <f t="shared" si="6"/>
        <v>1</v>
      </c>
      <c r="L18" s="287">
        <f t="shared" si="3"/>
        <v>1</v>
      </c>
      <c r="M18" s="287">
        <f t="shared" si="4"/>
        <v>0</v>
      </c>
    </row>
    <row r="19" spans="2:13" ht="13.5">
      <c r="B19" s="282" t="s">
        <v>250</v>
      </c>
      <c r="C19" s="283">
        <f>'Reporting Worksheet'!R67</f>
        <v>10</v>
      </c>
      <c r="D19" s="284">
        <v>1</v>
      </c>
      <c r="E19" s="285">
        <f t="shared" si="7"/>
        <v>1.4444444444444444</v>
      </c>
      <c r="F19" s="285">
        <f t="shared" si="5"/>
        <v>0.14444444444444443</v>
      </c>
      <c r="G19" s="285">
        <f t="shared" si="1"/>
        <v>1.4444444444444442</v>
      </c>
      <c r="H19" s="286">
        <f t="shared" si="2"/>
        <v>2.2204460492503131E-16</v>
      </c>
      <c r="I19" s="287">
        <f t="array" aca="1" ref="I19" ca="1">SUM(1*(H19&lt;$H$4:$H$23))+1+IF(ROW(H19)-ROW($H$4)=0,0,SUM(1*(H19=OFFSET($H$4,0,0,INDEX(ROW(H19)-ROW($H$4)+1,1)-1,1))))</f>
        <v>14</v>
      </c>
      <c r="J19" s="377" t="s">
        <v>249</v>
      </c>
      <c r="K19" s="287">
        <f t="shared" si="6"/>
        <v>1</v>
      </c>
      <c r="L19" s="287">
        <f t="shared" si="3"/>
        <v>1</v>
      </c>
      <c r="M19" s="287">
        <f t="shared" si="4"/>
        <v>0</v>
      </c>
    </row>
    <row r="20" spans="2:13" ht="13.5">
      <c r="B20" s="282" t="s">
        <v>160</v>
      </c>
      <c r="C20" s="283">
        <f>'Reporting Worksheet'!E69</f>
        <v>5</v>
      </c>
      <c r="D20" s="284">
        <v>1</v>
      </c>
      <c r="E20" s="285">
        <f t="shared" si="7"/>
        <v>1.4444444444444444</v>
      </c>
      <c r="F20" s="285">
        <f t="shared" si="5"/>
        <v>0.14444444444444443</v>
      </c>
      <c r="G20" s="285">
        <f t="shared" si="1"/>
        <v>0.7222222222222221</v>
      </c>
      <c r="H20" s="286">
        <f t="shared" si="2"/>
        <v>0.72222222222222232</v>
      </c>
      <c r="I20" s="287">
        <f t="array" aca="1" ref="I20" ca="1">SUM(1*(H20&lt;$H$4:$H$23))+1+IF(ROW(H20)-ROW($H$4)=0,0,SUM(1*(H20=OFFSET($H$4,0,0,INDEX(ROW(H20)-ROW($H$4)+1,1)-1,1))))</f>
        <v>10</v>
      </c>
      <c r="J20" s="377" t="s">
        <v>23</v>
      </c>
      <c r="K20" s="287">
        <f t="shared" si="6"/>
        <v>1</v>
      </c>
      <c r="L20" s="287">
        <f t="shared" si="3"/>
        <v>1</v>
      </c>
      <c r="M20" s="287">
        <f t="shared" si="4"/>
        <v>0</v>
      </c>
    </row>
    <row r="21" spans="2:13" ht="13.5">
      <c r="B21" s="282" t="s">
        <v>161</v>
      </c>
      <c r="C21" s="283">
        <f>'Reporting Worksheet'!E76</f>
        <v>10</v>
      </c>
      <c r="D21" s="284">
        <v>6</v>
      </c>
      <c r="E21" s="285">
        <f t="shared" si="7"/>
        <v>8.6666666666666661</v>
      </c>
      <c r="F21" s="285">
        <f t="shared" si="5"/>
        <v>0.86666666666666659</v>
      </c>
      <c r="G21" s="285">
        <f t="shared" si="1"/>
        <v>8.6666666666666661</v>
      </c>
      <c r="H21" s="286">
        <f t="shared" si="2"/>
        <v>0</v>
      </c>
      <c r="I21" s="287">
        <f t="array" aca="1" ref="I21" ca="1">SUM(1*(H21&lt;$H$4:$H$23))+1+IF(ROW(H21)-ROW($H$4)=0,0,SUM(1*(H21=OFFSET($H$4,0,0,INDEX(ROW(H21)-ROW($H$4)+1,1)-1,1))))</f>
        <v>20</v>
      </c>
      <c r="J21" s="377" t="s">
        <v>129</v>
      </c>
      <c r="K21" s="287">
        <f t="shared" si="6"/>
        <v>1</v>
      </c>
      <c r="L21" s="287">
        <f t="shared" si="3"/>
        <v>1</v>
      </c>
      <c r="M21" s="287">
        <f t="shared" si="4"/>
        <v>0</v>
      </c>
    </row>
    <row r="22" spans="2:13" ht="13.5">
      <c r="B22" s="282" t="s">
        <v>150</v>
      </c>
      <c r="C22" s="283">
        <f>'Reporting Worksheet'!E77</f>
        <v>9</v>
      </c>
      <c r="D22" s="284">
        <v>6</v>
      </c>
      <c r="E22" s="285">
        <f t="shared" si="7"/>
        <v>8.6666666666666661</v>
      </c>
      <c r="F22" s="285">
        <f t="shared" si="5"/>
        <v>0.86666666666666659</v>
      </c>
      <c r="G22" s="285">
        <f t="shared" si="1"/>
        <v>7.7999999999999989</v>
      </c>
      <c r="H22" s="286">
        <f t="shared" si="2"/>
        <v>0.86666666666666714</v>
      </c>
      <c r="I22" s="287">
        <f t="array" aca="1" ref="I22" ca="1">SUM(1*(H22&lt;$H$4:$H$23))+1+IF(ROW(H22)-ROW($H$4)=0,0,SUM(1*(H22=OFFSET($H$4,0,0,INDEX(ROW(H22)-ROW($H$4)+1,1)-1,1))))</f>
        <v>9</v>
      </c>
      <c r="J22" s="377" t="s">
        <v>148</v>
      </c>
      <c r="K22" s="287">
        <f t="shared" si="6"/>
        <v>1</v>
      </c>
      <c r="L22" s="287">
        <f t="shared" si="3"/>
        <v>1</v>
      </c>
      <c r="M22" s="287">
        <f t="shared" si="4"/>
        <v>0</v>
      </c>
    </row>
    <row r="23" spans="2:13" ht="13.5">
      <c r="B23" s="282" t="s">
        <v>151</v>
      </c>
      <c r="C23" s="283">
        <f>IF('Reporting Worksheet'!E78="n/a",0,'Reporting Worksheet'!E78)</f>
        <v>5</v>
      </c>
      <c r="D23" s="284">
        <v>6</v>
      </c>
      <c r="E23" s="285">
        <f t="shared" si="7"/>
        <v>8.6666666666666661</v>
      </c>
      <c r="F23" s="285">
        <f t="shared" si="5"/>
        <v>0.86666666666666659</v>
      </c>
      <c r="G23" s="285">
        <f t="shared" si="1"/>
        <v>4.333333333333333</v>
      </c>
      <c r="H23" s="286">
        <f t="shared" si="2"/>
        <v>4.333333333333333</v>
      </c>
      <c r="I23" s="287">
        <f t="array" aca="1" ref="I23" ca="1">SUM(1*(H23&lt;$H$4:$H$23))+1+IF(ROW(H23)-ROW($H$4)=0,0,SUM(1*(H23=OFFSET($H$4,0,0,INDEX(ROW(H23)-ROW($H$4)+1,1)-1,1))))</f>
        <v>4</v>
      </c>
      <c r="J23" s="377" t="s">
        <v>197</v>
      </c>
      <c r="K23" s="287">
        <f t="shared" si="6"/>
        <v>1</v>
      </c>
      <c r="L23" s="287">
        <f t="shared" si="3"/>
        <v>1</v>
      </c>
      <c r="M23" s="287">
        <f t="shared" si="4"/>
        <v>0</v>
      </c>
    </row>
    <row r="24" spans="2:13">
      <c r="D24" s="301">
        <f>SUM(D4:D23)</f>
        <v>80</v>
      </c>
      <c r="E24" s="139">
        <f>SUM(E4:E23)</f>
        <v>100</v>
      </c>
      <c r="F24" s="139">
        <f>SUM(F4:F23)</f>
        <v>10.000000000000002</v>
      </c>
      <c r="G24" s="500">
        <f>SUM(G4:G23)</f>
        <v>50.944444444444443</v>
      </c>
      <c r="M24" s="146">
        <f>SUM(M4:M23)</f>
        <v>0</v>
      </c>
    </row>
    <row r="25" spans="2:13">
      <c r="D25" s="139">
        <f>SUM(D10:D23)</f>
        <v>45</v>
      </c>
      <c r="J25" s="378"/>
      <c r="M25" s="145"/>
    </row>
    <row r="26" spans="2:13">
      <c r="D26" s="138">
        <f>D25/(100-D27)</f>
        <v>0.69230769230769229</v>
      </c>
    </row>
    <row r="27" spans="2:13">
      <c r="C27" s="361" t="s">
        <v>356</v>
      </c>
      <c r="D27" s="362">
        <v>35</v>
      </c>
      <c r="L27">
        <f>IF(SUM('Reporting Worksheet'!R26,'Reporting Worksheet'!R38)=2,2,IF(SUM('Reporting Worksheet'!R26,'Reporting Worksheet'!R38)=3,1,0))</f>
        <v>1</v>
      </c>
      <c r="M27" t="s">
        <v>166</v>
      </c>
    </row>
  </sheetData>
  <sheetProtection password="8B16" sheet="1" objects="1" scenarios="1"/>
  <phoneticPr fontId="40" type="noConversion"/>
  <conditionalFormatting sqref="B8:D8 B11:H23 B4:H4 D7 D9 B6:D6 B10:F10 G5:H10 E5:F9 C5:D5">
    <cfRule type="expression" dxfId="77" priority="4" stopIfTrue="1">
      <formula>$I4=1</formula>
    </cfRule>
    <cfRule type="expression" dxfId="76" priority="5" stopIfTrue="1">
      <formula>$I4=2</formula>
    </cfRule>
    <cfRule type="expression" dxfId="75" priority="6" stopIfTrue="1">
      <formula>$I4=3</formula>
    </cfRule>
  </conditionalFormatting>
  <conditionalFormatting sqref="I4:I23">
    <cfRule type="cellIs" dxfId="74" priority="7" stopIfTrue="1" operator="equal">
      <formula>1</formula>
    </cfRule>
    <cfRule type="cellIs" dxfId="73" priority="8" stopIfTrue="1" operator="equal">
      <formula>2</formula>
    </cfRule>
    <cfRule type="cellIs" dxfId="72" priority="9" stopIfTrue="1" operator="equal">
      <formula>3</formula>
    </cfRule>
  </conditionalFormatting>
  <conditionalFormatting sqref="C7">
    <cfRule type="expression" dxfId="71" priority="97" stopIfTrue="1">
      <formula>#REF!=1</formula>
    </cfRule>
    <cfRule type="expression" dxfId="70" priority="98" stopIfTrue="1">
      <formula>#REF!=2</formula>
    </cfRule>
    <cfRule type="expression" dxfId="69" priority="99" stopIfTrue="1">
      <formula>#REF!=3</formula>
    </cfRule>
  </conditionalFormatting>
  <conditionalFormatting sqref="C9">
    <cfRule type="expression" dxfId="68" priority="103" stopIfTrue="1">
      <formula>#REF!=1</formula>
    </cfRule>
    <cfRule type="expression" dxfId="67" priority="104" stopIfTrue="1">
      <formula>#REF!=2</formula>
    </cfRule>
    <cfRule type="expression" dxfId="66" priority="105" stopIfTrue="1">
      <formula>#REF!=3</formula>
    </cfRule>
  </conditionalFormatting>
  <conditionalFormatting sqref="B5">
    <cfRule type="expression" dxfId="65" priority="3" stopIfTrue="1">
      <formula>Q5=1</formula>
    </cfRule>
  </conditionalFormatting>
  <conditionalFormatting sqref="B7">
    <cfRule type="expression" dxfId="64" priority="2" stopIfTrue="1">
      <formula>Q7=1</formula>
    </cfRule>
  </conditionalFormatting>
  <conditionalFormatting sqref="B9">
    <cfRule type="expression" dxfId="63" priority="1" stopIfTrue="1">
      <formula>Q9=1</formula>
    </cfRule>
  </conditionalFormatting>
  <pageMargins left="0.75" right="0.75" top="1" bottom="1" header="0.5" footer="0.5"/>
  <pageSetup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8</vt:i4>
      </vt:variant>
    </vt:vector>
  </HeadingPairs>
  <TitlesOfParts>
    <vt:vector size="26" baseType="lpstr">
      <vt:lpstr>Sheet4</vt:lpstr>
      <vt:lpstr>Sheet3</vt:lpstr>
      <vt:lpstr>Sheet2</vt:lpstr>
      <vt:lpstr>Instructions</vt:lpstr>
      <vt:lpstr>Reporting Worksheet</vt:lpstr>
      <vt:lpstr>Performance Indicators</vt:lpstr>
      <vt:lpstr>Comments</vt:lpstr>
      <vt:lpstr>Water Balance</vt:lpstr>
      <vt:lpstr>GradingAssessment</vt:lpstr>
      <vt:lpstr>Dashboard</vt:lpstr>
      <vt:lpstr>Grading Matrix</vt:lpstr>
      <vt:lpstr>Service Connection Diagram</vt:lpstr>
      <vt:lpstr>Definitions</vt:lpstr>
      <vt:lpstr>Loss Control Planning</vt:lpstr>
      <vt:lpstr>Example Audits</vt:lpstr>
      <vt:lpstr>Ex. Audit 2 (Megalitres)</vt:lpstr>
      <vt:lpstr>Acknowledgements</vt:lpstr>
      <vt:lpstr>Sheet1</vt:lpstr>
      <vt:lpstr>Definitions!Print_Area</vt:lpstr>
      <vt:lpstr>'Ex. Audit 2 (Megalitres)'!Print_Area</vt:lpstr>
      <vt:lpstr>'Performance Indicators'!Print_Area</vt:lpstr>
      <vt:lpstr>'Reporting Worksheet'!Print_Area</vt:lpstr>
      <vt:lpstr>'Service Connection Diagram'!Print_Area</vt:lpstr>
      <vt:lpstr>Comments!Print_Titles</vt:lpstr>
      <vt:lpstr>Definitions!Print_Titles</vt:lpstr>
      <vt:lpstr>'Grading Matrix'!Print_Titles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dc:title>
  <dc:creator>Andrew Chastain-Howley, Alain Lalonde, George Kunkel P.E., David Sayers</dc:creator>
  <cp:lastModifiedBy>Robert Hillebrecht</cp:lastModifiedBy>
  <cp:lastPrinted>2014-07-21T15:05:12Z</cp:lastPrinted>
  <dcterms:created xsi:type="dcterms:W3CDTF">2004-11-04T17:59:53Z</dcterms:created>
  <dcterms:modified xsi:type="dcterms:W3CDTF">2019-09-18T19:20:34Z</dcterms:modified>
</cp:coreProperties>
</file>